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28.6\michael\ExtPriv\2017\Projekte\Charaktergenerator Game of Thrones RPG\"/>
    </mc:Choice>
  </mc:AlternateContent>
  <bookViews>
    <workbookView xWindow="0" yWindow="0" windowWidth="16065" windowHeight="11910" tabRatio="769"/>
  </bookViews>
  <sheets>
    <sheet name="1. Allgemeines" sheetId="1" r:id="rId1"/>
    <sheet name="2. Fähigkeiten" sheetId="3" r:id="rId2"/>
    <sheet name="3. Vorteile" sheetId="4" r:id="rId3"/>
    <sheet name="4. Nachteile" sheetId="8" r:id="rId4"/>
    <sheet name="Charakterbogen" sheetId="6" r:id="rId5"/>
    <sheet name="Charaktebogen (mini)" sheetId="9" r:id="rId6"/>
    <sheet name="Charakterbogen neu (blanko)" sheetId="11" r:id="rId7"/>
    <sheet name="Charakterbogen (blanko)" sheetId="7" r:id="rId8"/>
    <sheet name="Rollenspielbücher" sheetId="5" r:id="rId9"/>
    <sheet name="_Tabellen und Listen" sheetId="2" state="hidden" r:id="rId10"/>
  </sheets>
  <definedNames>
    <definedName name="Alter">'_Tabellen und Listen'!$A$17:$B$24</definedName>
    <definedName name="Bastardname">'4. Nachteile'!$H$17</definedName>
    <definedName name="_xlnm.Print_Area" localSheetId="5">'Charaktebogen (mini)'!$A$1:$G$33</definedName>
    <definedName name="_xlnm.Print_Area" localSheetId="4">Charakterbogen!$A$1:$Y$75</definedName>
    <definedName name="_xlnm.Print_Area" localSheetId="7">'Charakterbogen (blanko)'!$A$1:$Y$75</definedName>
    <definedName name="_xlnm.Print_Area" localSheetId="6">'Charakterbogen neu (blanko)'!$A$1:$Y$75</definedName>
    <definedName name="Geschlecht">'1. Allgemeines'!$H$12</definedName>
    <definedName name="Name">'1. Allgemeines'!$H$13</definedName>
    <definedName name="Reich">'1. Allgemeines'!$H$14</definedName>
    <definedName name="Spielername">'1. Allgemeines'!$H$10</definedName>
    <definedName name="Startreich">'_Tabellen und Listen'!$A$4:$C$13</definedName>
    <definedName name="Status">'_Tabellen und Listen'!$A$27:$B$31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8" l="1"/>
  <c r="B11" i="8"/>
  <c r="C123" i="3"/>
  <c r="H12" i="3"/>
  <c r="E65" i="3" l="1"/>
  <c r="C12" i="3" l="1"/>
  <c r="L35" i="8"/>
  <c r="L36" i="8" s="1"/>
  <c r="L37" i="8" s="1"/>
  <c r="L38" i="8" s="1"/>
  <c r="L39" i="8" s="1"/>
  <c r="L40" i="8" s="1"/>
  <c r="L41" i="8" s="1"/>
  <c r="L42" i="8" s="1"/>
  <c r="L43" i="8" s="1"/>
  <c r="L44" i="8" s="1"/>
  <c r="L45" i="8" s="1"/>
  <c r="L46" i="8" s="1"/>
  <c r="L47" i="8" s="1"/>
  <c r="L48" i="8" s="1"/>
  <c r="M35" i="8"/>
  <c r="M36" i="8" s="1"/>
  <c r="M37" i="8" s="1"/>
  <c r="M38" i="8" s="1"/>
  <c r="M39" i="8" s="1"/>
  <c r="M40" i="8" s="1"/>
  <c r="M41" i="8" s="1"/>
  <c r="M42" i="8" s="1"/>
  <c r="M43" i="8" s="1"/>
  <c r="M44" i="8" s="1"/>
  <c r="M45" i="8" s="1"/>
  <c r="M46" i="8" s="1"/>
  <c r="M47" i="8" s="1"/>
  <c r="M48" i="8" s="1"/>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69" i="8"/>
  <c r="J70" i="8"/>
  <c r="J71" i="8"/>
  <c r="J72" i="8"/>
  <c r="E9" i="6"/>
  <c r="E14" i="6"/>
  <c r="W7" i="6"/>
  <c r="W8" i="6"/>
  <c r="W9" i="6"/>
  <c r="W10" i="6"/>
  <c r="W11" i="6"/>
  <c r="W12" i="6"/>
  <c r="W13" i="6"/>
  <c r="W14" i="6"/>
  <c r="W6" i="6"/>
  <c r="E13" i="6"/>
  <c r="E12" i="6"/>
  <c r="E11" i="6"/>
  <c r="E10" i="6"/>
  <c r="E8" i="6"/>
  <c r="E7" i="6"/>
  <c r="E6" i="6"/>
  <c r="E118" i="3"/>
  <c r="E114" i="3"/>
  <c r="E111" i="3"/>
  <c r="E108" i="3"/>
  <c r="E103" i="3"/>
  <c r="E95" i="3"/>
  <c r="E90" i="3"/>
  <c r="E85" i="3"/>
  <c r="E80" i="3"/>
  <c r="E63" i="3"/>
  <c r="E58" i="3"/>
  <c r="E54" i="3"/>
  <c r="E50" i="3"/>
  <c r="E40" i="3"/>
  <c r="E36" i="3"/>
  <c r="E30" i="3"/>
  <c r="E26" i="3"/>
  <c r="E23" i="3"/>
  <c r="E16" i="3"/>
  <c r="E36" i="8"/>
  <c r="F118" i="3"/>
  <c r="F114" i="3"/>
  <c r="F111" i="3"/>
  <c r="F108" i="3"/>
  <c r="F103" i="3"/>
  <c r="F95" i="3"/>
  <c r="F90" i="3"/>
  <c r="F85" i="3"/>
  <c r="F80" i="3"/>
  <c r="F58" i="3"/>
  <c r="F54" i="3"/>
  <c r="F50" i="3"/>
  <c r="F40" i="3"/>
  <c r="F36" i="3"/>
  <c r="F30" i="3"/>
  <c r="F26" i="3"/>
  <c r="F23" i="3"/>
  <c r="F16" i="3"/>
  <c r="C37" i="8"/>
  <c r="C38" i="8"/>
  <c r="C39" i="8"/>
  <c r="C40" i="8"/>
  <c r="C41" i="8"/>
  <c r="C42" i="8"/>
  <c r="C43" i="8"/>
  <c r="C44" i="8"/>
  <c r="C45" i="8"/>
  <c r="C46" i="8"/>
  <c r="C47" i="8"/>
  <c r="C48" i="8"/>
  <c r="C49" i="8"/>
  <c r="C50" i="8"/>
  <c r="C51" i="8"/>
  <c r="C52" i="8"/>
  <c r="C53" i="8"/>
  <c r="C54" i="8"/>
  <c r="C36" i="8"/>
  <c r="A37" i="8"/>
  <c r="A38" i="8"/>
  <c r="A39" i="8"/>
  <c r="A40" i="8"/>
  <c r="A41" i="8"/>
  <c r="A42" i="8"/>
  <c r="A43" i="8"/>
  <c r="A44" i="8"/>
  <c r="A45" i="8"/>
  <c r="A46" i="8"/>
  <c r="A47" i="8"/>
  <c r="A48" i="8"/>
  <c r="A49" i="8"/>
  <c r="A50" i="8"/>
  <c r="A51" i="8"/>
  <c r="A52" i="8"/>
  <c r="A53" i="8"/>
  <c r="A54" i="8"/>
  <c r="A36" i="8"/>
  <c r="M49" i="8" l="1"/>
  <c r="M50" i="8" s="1"/>
  <c r="M51" i="8" s="1"/>
  <c r="M52" i="8" s="1"/>
  <c r="M53" i="8" s="1"/>
  <c r="M54" i="8" s="1"/>
  <c r="M55" i="8" s="1"/>
  <c r="L49" i="8"/>
  <c r="L50" i="8" s="1"/>
  <c r="L51" i="8" s="1"/>
  <c r="L52" i="8" s="1"/>
  <c r="L53" i="8" s="1"/>
  <c r="L54" i="8" s="1"/>
  <c r="L55" i="8" s="1"/>
  <c r="Z33" i="6"/>
  <c r="Z32" i="6"/>
  <c r="Z26" i="6"/>
  <c r="W34" i="6"/>
  <c r="Z28" i="6"/>
  <c r="Z29" i="6"/>
  <c r="Z30" i="6"/>
  <c r="Z31" i="6"/>
  <c r="Z27" i="6"/>
  <c r="W36" i="11"/>
  <c r="W75" i="11" s="1"/>
  <c r="C36" i="11"/>
  <c r="C75" i="11" s="1"/>
  <c r="W34" i="11"/>
  <c r="X31" i="11"/>
  <c r="W31" i="11"/>
  <c r="J31" i="11"/>
  <c r="F31" i="11"/>
  <c r="J30" i="11"/>
  <c r="F30" i="11"/>
  <c r="X29" i="11"/>
  <c r="J29" i="11"/>
  <c r="F29" i="11"/>
  <c r="X28" i="11"/>
  <c r="J28" i="11"/>
  <c r="F28" i="11"/>
  <c r="J27" i="11"/>
  <c r="F27" i="11"/>
  <c r="X26" i="11"/>
  <c r="B9" i="11"/>
  <c r="B10" i="11" s="1"/>
  <c r="B8" i="11"/>
  <c r="E8" i="11" s="1"/>
  <c r="E7" i="11"/>
  <c r="B7" i="11"/>
  <c r="E6" i="11"/>
  <c r="W5" i="11"/>
  <c r="O5" i="11"/>
  <c r="N5" i="11"/>
  <c r="D2" i="11"/>
  <c r="J34" i="8"/>
  <c r="J26" i="8"/>
  <c r="J20" i="8"/>
  <c r="J19" i="8"/>
  <c r="H21" i="1"/>
  <c r="E227" i="4" s="1"/>
  <c r="J250" i="4"/>
  <c r="J124" i="4"/>
  <c r="J104" i="4"/>
  <c r="J70" i="4"/>
  <c r="W31" i="6"/>
  <c r="X31" i="6"/>
  <c r="J28" i="6"/>
  <c r="J29" i="6"/>
  <c r="J30" i="6"/>
  <c r="J31" i="6"/>
  <c r="F28" i="6"/>
  <c r="F29" i="6"/>
  <c r="F30" i="6"/>
  <c r="F31" i="6"/>
  <c r="X29" i="6"/>
  <c r="X28" i="6"/>
  <c r="X26" i="6"/>
  <c r="I67" i="3"/>
  <c r="I68" i="3"/>
  <c r="I69" i="3"/>
  <c r="I72" i="3"/>
  <c r="I73" i="3"/>
  <c r="I74" i="3"/>
  <c r="I75" i="3"/>
  <c r="I76" i="3"/>
  <c r="I77" i="3"/>
  <c r="I78" i="3"/>
  <c r="I79" i="3"/>
  <c r="I63" i="3"/>
  <c r="F65" i="3"/>
  <c r="F66" i="3"/>
  <c r="I66" i="3" s="1"/>
  <c r="F67" i="3"/>
  <c r="F68" i="3"/>
  <c r="F69" i="3"/>
  <c r="F70" i="3"/>
  <c r="F71" i="3"/>
  <c r="F72" i="3"/>
  <c r="F73" i="3"/>
  <c r="F74" i="3"/>
  <c r="F75" i="3"/>
  <c r="F76" i="3"/>
  <c r="F77" i="3"/>
  <c r="F78" i="3"/>
  <c r="F79" i="3"/>
  <c r="F64" i="3"/>
  <c r="I64" i="3" s="1"/>
  <c r="G64" i="3"/>
  <c r="G65" i="3"/>
  <c r="G66" i="3"/>
  <c r="G67" i="3"/>
  <c r="G68" i="3"/>
  <c r="G69" i="3"/>
  <c r="G70" i="3"/>
  <c r="G71" i="3"/>
  <c r="G72" i="3"/>
  <c r="G73" i="3"/>
  <c r="G74" i="3"/>
  <c r="G75" i="3"/>
  <c r="G76" i="3"/>
  <c r="G77" i="3"/>
  <c r="G78" i="3"/>
  <c r="G79" i="3"/>
  <c r="B65" i="3"/>
  <c r="I65" i="3" s="1"/>
  <c r="B66" i="3"/>
  <c r="B67" i="3"/>
  <c r="B68" i="3"/>
  <c r="B69" i="3"/>
  <c r="B70" i="3"/>
  <c r="B71" i="3"/>
  <c r="B72" i="3"/>
  <c r="B73" i="3"/>
  <c r="B74" i="3"/>
  <c r="B75" i="3"/>
  <c r="B76" i="3"/>
  <c r="B77" i="3"/>
  <c r="B78" i="3"/>
  <c r="B79" i="3"/>
  <c r="D63" i="3"/>
  <c r="F63" i="3" s="1"/>
  <c r="B64" i="3"/>
  <c r="G29" i="1"/>
  <c r="G31" i="1" s="1"/>
  <c r="G33" i="1" s="1"/>
  <c r="G35" i="1" s="1"/>
  <c r="G37" i="1" s="1"/>
  <c r="G39" i="1" s="1"/>
  <c r="G41" i="1" s="1"/>
  <c r="F41" i="1"/>
  <c r="E41" i="1"/>
  <c r="D41" i="1" s="1"/>
  <c r="F39" i="1"/>
  <c r="E39" i="1"/>
  <c r="D39" i="1" s="1"/>
  <c r="F37" i="1"/>
  <c r="E37" i="1"/>
  <c r="D37" i="1" s="1"/>
  <c r="F35" i="1"/>
  <c r="E35" i="1"/>
  <c r="D35" i="1" s="1"/>
  <c r="F33" i="1"/>
  <c r="E33" i="1"/>
  <c r="D33" i="1" s="1"/>
  <c r="F31" i="1"/>
  <c r="E31" i="1"/>
  <c r="D31" i="1" s="1"/>
  <c r="F29" i="1"/>
  <c r="F27" i="1"/>
  <c r="E29" i="1"/>
  <c r="D29" i="1" s="1"/>
  <c r="J24" i="8"/>
  <c r="J25" i="8"/>
  <c r="J27" i="8"/>
  <c r="J28" i="8"/>
  <c r="J29" i="8"/>
  <c r="J30" i="8"/>
  <c r="J31" i="8"/>
  <c r="J32" i="8"/>
  <c r="J33" i="8"/>
  <c r="J35" i="8"/>
  <c r="J73" i="8"/>
  <c r="J74" i="8"/>
  <c r="J17" i="8"/>
  <c r="J18" i="8"/>
  <c r="J21" i="8"/>
  <c r="J22" i="8"/>
  <c r="J23" i="8"/>
  <c r="J16" i="8"/>
  <c r="E10" i="11" l="1"/>
  <c r="B11" i="11"/>
  <c r="E9" i="11"/>
  <c r="J227" i="4"/>
  <c r="I71" i="3"/>
  <c r="I70" i="3"/>
  <c r="J64" i="3"/>
  <c r="J65" i="3" s="1"/>
  <c r="J66" i="3" s="1"/>
  <c r="J67" i="3" s="1"/>
  <c r="J68" i="3" s="1"/>
  <c r="J69" i="3" s="1"/>
  <c r="D2" i="6"/>
  <c r="B27" i="9"/>
  <c r="B28" i="9"/>
  <c r="B29" i="9"/>
  <c r="C29" i="9" s="1"/>
  <c r="B30" i="9"/>
  <c r="C30" i="9" s="1"/>
  <c r="B26" i="9"/>
  <c r="B25" i="9"/>
  <c r="D30" i="9"/>
  <c r="C32" i="9"/>
  <c r="L14" i="4"/>
  <c r="J98" i="3"/>
  <c r="J99" i="3" s="1"/>
  <c r="J100" i="3" s="1"/>
  <c r="J101" i="3" s="1"/>
  <c r="J102" i="3" s="1"/>
  <c r="J93" i="3"/>
  <c r="J94" i="3" s="1"/>
  <c r="J89" i="3"/>
  <c r="E11" i="11" l="1"/>
  <c r="B12" i="11"/>
  <c r="J70" i="3"/>
  <c r="J71" i="3" s="1"/>
  <c r="J72" i="3" s="1"/>
  <c r="J73" i="3" s="1"/>
  <c r="J74" i="3" s="1"/>
  <c r="J75" i="3" s="1"/>
  <c r="J76" i="3" s="1"/>
  <c r="J77" i="3" s="1"/>
  <c r="J78" i="3" s="1"/>
  <c r="J79" i="3" s="1"/>
  <c r="M63" i="3" s="1"/>
  <c r="E15" i="6" s="1"/>
  <c r="B10" i="8"/>
  <c r="D146" i="2"/>
  <c r="D147" i="2"/>
  <c r="D148" i="2"/>
  <c r="D149" i="2"/>
  <c r="D150" i="2"/>
  <c r="D151" i="2"/>
  <c r="D152" i="2"/>
  <c r="D153" i="2"/>
  <c r="D154" i="2"/>
  <c r="D155" i="2"/>
  <c r="D156" i="2"/>
  <c r="D157" i="2"/>
  <c r="D158" i="2"/>
  <c r="D159" i="2"/>
  <c r="D160" i="2"/>
  <c r="D161" i="2"/>
  <c r="D162" i="2"/>
  <c r="D163" i="2"/>
  <c r="D145" i="2"/>
  <c r="B8" i="4"/>
  <c r="B6" i="8"/>
  <c r="A100" i="8"/>
  <c r="A99" i="8"/>
  <c r="A98" i="8"/>
  <c r="A97" i="8"/>
  <c r="A96" i="8"/>
  <c r="A95" i="8"/>
  <c r="A94" i="8"/>
  <c r="A93" i="8"/>
  <c r="A92" i="8"/>
  <c r="A91" i="8"/>
  <c r="A90" i="8"/>
  <c r="A89" i="8"/>
  <c r="A88" i="8"/>
  <c r="A87" i="8"/>
  <c r="A86" i="8"/>
  <c r="A85" i="8"/>
  <c r="A84" i="8"/>
  <c r="A83" i="8"/>
  <c r="A82" i="8"/>
  <c r="D5" i="8"/>
  <c r="H3" i="8"/>
  <c r="A1" i="8"/>
  <c r="E12" i="11" l="1"/>
  <c r="B13" i="11"/>
  <c r="B77" i="8"/>
  <c r="M16" i="8"/>
  <c r="M17" i="8" s="1"/>
  <c r="L16" i="8"/>
  <c r="L17" i="8" s="1"/>
  <c r="L18" i="8" s="1"/>
  <c r="J255" i="4"/>
  <c r="J252" i="4"/>
  <c r="J251" i="4"/>
  <c r="J248" i="4"/>
  <c r="J247" i="4"/>
  <c r="J246" i="4"/>
  <c r="J245" i="4"/>
  <c r="J244" i="4"/>
  <c r="J242" i="4"/>
  <c r="J239" i="4"/>
  <c r="J238" i="4"/>
  <c r="J237" i="4"/>
  <c r="J236" i="4"/>
  <c r="J235" i="4"/>
  <c r="J234" i="4"/>
  <c r="J233" i="4"/>
  <c r="J231" i="4"/>
  <c r="J229" i="4"/>
  <c r="J228" i="4"/>
  <c r="J226" i="4"/>
  <c r="J222" i="4"/>
  <c r="J221" i="4"/>
  <c r="J220" i="4"/>
  <c r="J223" i="4"/>
  <c r="J218" i="4"/>
  <c r="N211" i="4"/>
  <c r="N212" i="4" s="1"/>
  <c r="N213" i="4" s="1"/>
  <c r="N214" i="4" s="1"/>
  <c r="N215" i="4" s="1"/>
  <c r="N216" i="4" s="1"/>
  <c r="N217" i="4" s="1"/>
  <c r="J211" i="4" s="1"/>
  <c r="J208" i="4"/>
  <c r="J207" i="4"/>
  <c r="J206" i="4"/>
  <c r="J202" i="4"/>
  <c r="J201" i="4"/>
  <c r="J199" i="4"/>
  <c r="J198" i="4"/>
  <c r="J196" i="4"/>
  <c r="J194" i="4"/>
  <c r="J192" i="4"/>
  <c r="J191" i="4"/>
  <c r="J189" i="4"/>
  <c r="J186" i="4"/>
  <c r="J183" i="4"/>
  <c r="J181" i="4"/>
  <c r="J179" i="4"/>
  <c r="J178" i="4"/>
  <c r="J175" i="4"/>
  <c r="J172" i="4"/>
  <c r="J170" i="4"/>
  <c r="J169" i="4"/>
  <c r="J167" i="4"/>
  <c r="J165" i="4"/>
  <c r="J163" i="4"/>
  <c r="J161" i="4"/>
  <c r="J159" i="4"/>
  <c r="J157" i="4"/>
  <c r="J156" i="4"/>
  <c r="J155" i="4"/>
  <c r="J154" i="4"/>
  <c r="J152" i="4"/>
  <c r="J151" i="4"/>
  <c r="J148" i="4"/>
  <c r="J146" i="4"/>
  <c r="J143" i="4"/>
  <c r="J140" i="4"/>
  <c r="J138" i="4"/>
  <c r="J137" i="4"/>
  <c r="J136" i="4"/>
  <c r="J133" i="4"/>
  <c r="J130" i="4"/>
  <c r="J128" i="4"/>
  <c r="J126" i="4"/>
  <c r="J123" i="4"/>
  <c r="J121" i="4"/>
  <c r="N114" i="4"/>
  <c r="N115" i="4" s="1"/>
  <c r="N116" i="4" s="1"/>
  <c r="N117" i="4" s="1"/>
  <c r="N118" i="4" s="1"/>
  <c r="N119" i="4" s="1"/>
  <c r="J110" i="4"/>
  <c r="J111" i="4"/>
  <c r="J108" i="4"/>
  <c r="J107" i="4"/>
  <c r="J106" i="4"/>
  <c r="J105" i="4"/>
  <c r="J103" i="4"/>
  <c r="J102" i="4"/>
  <c r="J101" i="4"/>
  <c r="N94" i="4"/>
  <c r="N95" i="4" s="1"/>
  <c r="N96" i="4" s="1"/>
  <c r="N97" i="4" s="1"/>
  <c r="N98" i="4" s="1"/>
  <c r="N99" i="4" s="1"/>
  <c r="N100" i="4" s="1"/>
  <c r="J93" i="4"/>
  <c r="J92" i="4"/>
  <c r="J91" i="4"/>
  <c r="J90" i="4"/>
  <c r="J87" i="4"/>
  <c r="J86" i="4"/>
  <c r="J75" i="4"/>
  <c r="N76" i="4"/>
  <c r="N77" i="4" s="1"/>
  <c r="N78" i="4" s="1"/>
  <c r="N79" i="4" s="1"/>
  <c r="N80" i="4" s="1"/>
  <c r="N81" i="4" s="1"/>
  <c r="N82" i="4" s="1"/>
  <c r="N83" i="4" s="1"/>
  <c r="N84" i="4" s="1"/>
  <c r="N85" i="4" s="1"/>
  <c r="J74" i="4"/>
  <c r="J72" i="4"/>
  <c r="J69" i="4"/>
  <c r="J68" i="4"/>
  <c r="J67" i="4"/>
  <c r="N60" i="4"/>
  <c r="N61" i="4" s="1"/>
  <c r="N62" i="4" s="1"/>
  <c r="N63" i="4" s="1"/>
  <c r="N64" i="4" s="1"/>
  <c r="N65" i="4" s="1"/>
  <c r="N66" i="4" s="1"/>
  <c r="J60" i="4" s="1"/>
  <c r="J59" i="4"/>
  <c r="J58" i="4"/>
  <c r="J56" i="4"/>
  <c r="J54" i="4"/>
  <c r="J53" i="4"/>
  <c r="J52" i="4"/>
  <c r="J51" i="4"/>
  <c r="N44" i="4"/>
  <c r="N45" i="4" s="1"/>
  <c r="N46" i="4" s="1"/>
  <c r="N47" i="4" s="1"/>
  <c r="N48" i="4" s="1"/>
  <c r="N49" i="4" s="1"/>
  <c r="N50" i="4" s="1"/>
  <c r="J44" i="4" s="1"/>
  <c r="N37" i="4"/>
  <c r="N38" i="4" s="1"/>
  <c r="N39" i="4" s="1"/>
  <c r="N40" i="4" s="1"/>
  <c r="N41" i="4" s="1"/>
  <c r="N42" i="4" s="1"/>
  <c r="N43" i="4" s="1"/>
  <c r="J37" i="4" s="1"/>
  <c r="J35" i="4"/>
  <c r="N28" i="4"/>
  <c r="N29" i="4" s="1"/>
  <c r="N30" i="4" s="1"/>
  <c r="N31" i="4" s="1"/>
  <c r="N32" i="4" s="1"/>
  <c r="N33" i="4" s="1"/>
  <c r="N34" i="4" s="1"/>
  <c r="J28" i="4" s="1"/>
  <c r="J27" i="4"/>
  <c r="J25" i="4"/>
  <c r="N19" i="4"/>
  <c r="N20" i="4" s="1"/>
  <c r="N21" i="4" s="1"/>
  <c r="N22" i="4" s="1"/>
  <c r="N23" i="4" s="1"/>
  <c r="N24" i="4" s="1"/>
  <c r="J18" i="4" s="1"/>
  <c r="J16" i="4"/>
  <c r="I212" i="4"/>
  <c r="I213" i="4" s="1"/>
  <c r="I214" i="4" s="1"/>
  <c r="I215" i="4" s="1"/>
  <c r="I216" i="4" s="1"/>
  <c r="I217" i="4" s="1"/>
  <c r="A114" i="4"/>
  <c r="A120" i="4"/>
  <c r="A119" i="4"/>
  <c r="A118" i="4"/>
  <c r="A116" i="4"/>
  <c r="A115" i="4"/>
  <c r="A95" i="4"/>
  <c r="A96" i="4"/>
  <c r="A97" i="4"/>
  <c r="A98" i="4"/>
  <c r="A99" i="4"/>
  <c r="A100" i="4"/>
  <c r="A94" i="4"/>
  <c r="A20" i="4"/>
  <c r="A21" i="4"/>
  <c r="A22" i="4"/>
  <c r="A23" i="4"/>
  <c r="A24" i="4"/>
  <c r="A19" i="4"/>
  <c r="H38" i="4"/>
  <c r="H39" i="4"/>
  <c r="H40" i="4"/>
  <c r="H41" i="4"/>
  <c r="H42" i="4"/>
  <c r="H43" i="4"/>
  <c r="H37" i="4"/>
  <c r="H243" i="4"/>
  <c r="G14" i="4"/>
  <c r="F14" i="4"/>
  <c r="H14" i="4" s="1"/>
  <c r="F38" i="4"/>
  <c r="F39" i="4"/>
  <c r="F40" i="4"/>
  <c r="F41" i="4"/>
  <c r="F42" i="4"/>
  <c r="F43" i="4"/>
  <c r="F37" i="4"/>
  <c r="D5" i="4"/>
  <c r="B7" i="4"/>
  <c r="B7" i="8" s="1"/>
  <c r="A147" i="2"/>
  <c r="A148" i="2"/>
  <c r="A149" i="2"/>
  <c r="A150" i="2"/>
  <c r="A151" i="2"/>
  <c r="A152" i="2"/>
  <c r="A153" i="2"/>
  <c r="A154" i="2"/>
  <c r="A155" i="2" s="1"/>
  <c r="A156" i="2" s="1"/>
  <c r="A157" i="2" s="1"/>
  <c r="A158" i="2" s="1"/>
  <c r="A159" i="2" s="1"/>
  <c r="A160" i="2" s="1"/>
  <c r="A161" i="2" s="1"/>
  <c r="A162" i="2" s="1"/>
  <c r="A163" i="2" s="1"/>
  <c r="A146" i="2"/>
  <c r="A280" i="4"/>
  <c r="A281" i="4"/>
  <c r="A282" i="4"/>
  <c r="A283" i="4"/>
  <c r="A266" i="4"/>
  <c r="A267" i="4"/>
  <c r="A268" i="4"/>
  <c r="A269" i="4"/>
  <c r="A270" i="4"/>
  <c r="A271" i="4"/>
  <c r="A272" i="4"/>
  <c r="A273" i="4"/>
  <c r="A274" i="4"/>
  <c r="A275" i="4"/>
  <c r="A276" i="4"/>
  <c r="A277" i="4"/>
  <c r="A278" i="4"/>
  <c r="A279" i="4"/>
  <c r="A265" i="4"/>
  <c r="X68" i="7"/>
  <c r="W68" i="7"/>
  <c r="V68" i="7"/>
  <c r="U68" i="7"/>
  <c r="T68" i="7"/>
  <c r="S68" i="7"/>
  <c r="R68" i="7"/>
  <c r="Q68" i="7"/>
  <c r="P68" i="7"/>
  <c r="O68" i="7"/>
  <c r="N68" i="7"/>
  <c r="M68" i="7"/>
  <c r="L68" i="7"/>
  <c r="K68" i="7"/>
  <c r="J68" i="7"/>
  <c r="I68" i="7"/>
  <c r="H68" i="7"/>
  <c r="G68" i="7"/>
  <c r="F68" i="7"/>
  <c r="E68" i="7"/>
  <c r="D68" i="7"/>
  <c r="C68" i="7"/>
  <c r="X62" i="7"/>
  <c r="W62" i="7"/>
  <c r="V62" i="7"/>
  <c r="U62" i="7"/>
  <c r="T62" i="7"/>
  <c r="S62" i="7"/>
  <c r="R62" i="7"/>
  <c r="Q62" i="7"/>
  <c r="P62" i="7"/>
  <c r="O62" i="7"/>
  <c r="N62" i="7"/>
  <c r="M62" i="7"/>
  <c r="L62" i="7"/>
  <c r="K62" i="7"/>
  <c r="J62" i="7"/>
  <c r="I62" i="7"/>
  <c r="H62" i="7"/>
  <c r="G62" i="7"/>
  <c r="F62" i="7"/>
  <c r="E62" i="7"/>
  <c r="D62" i="7"/>
  <c r="C62" i="7"/>
  <c r="X54" i="7"/>
  <c r="W54" i="7"/>
  <c r="V54" i="7"/>
  <c r="U54" i="7"/>
  <c r="T54" i="7"/>
  <c r="S54" i="7"/>
  <c r="R54" i="7"/>
  <c r="Q54" i="7"/>
  <c r="P54" i="7"/>
  <c r="O54" i="7"/>
  <c r="N54" i="7"/>
  <c r="M54" i="7"/>
  <c r="L54" i="7"/>
  <c r="K54" i="7"/>
  <c r="J54" i="7"/>
  <c r="I54" i="7"/>
  <c r="H54" i="7"/>
  <c r="G54" i="7"/>
  <c r="F54" i="7"/>
  <c r="E54" i="7"/>
  <c r="D54" i="7"/>
  <c r="C54" i="7"/>
  <c r="X49" i="7"/>
  <c r="W49" i="7"/>
  <c r="V49" i="7"/>
  <c r="U49" i="7"/>
  <c r="T49" i="7"/>
  <c r="S49" i="7"/>
  <c r="R49" i="7"/>
  <c r="Q49" i="7"/>
  <c r="P49" i="7"/>
  <c r="O49" i="7"/>
  <c r="N49" i="7"/>
  <c r="X45" i="7"/>
  <c r="W45" i="7"/>
  <c r="V45" i="7"/>
  <c r="U45" i="7"/>
  <c r="T45" i="7"/>
  <c r="S45" i="7"/>
  <c r="R45" i="7"/>
  <c r="Q45" i="7"/>
  <c r="P45" i="7"/>
  <c r="O45" i="7"/>
  <c r="N45" i="7"/>
  <c r="L43" i="7"/>
  <c r="K43" i="7"/>
  <c r="J43" i="7"/>
  <c r="I43" i="7"/>
  <c r="H43" i="7"/>
  <c r="G43" i="7"/>
  <c r="F43" i="7"/>
  <c r="E43" i="7"/>
  <c r="D43" i="7"/>
  <c r="C43" i="7"/>
  <c r="X41" i="7"/>
  <c r="W41" i="7"/>
  <c r="V41" i="7"/>
  <c r="U41" i="7"/>
  <c r="T41" i="7"/>
  <c r="S41" i="7"/>
  <c r="R41" i="7"/>
  <c r="Q41" i="7"/>
  <c r="P41" i="7"/>
  <c r="O41" i="7"/>
  <c r="N41" i="7"/>
  <c r="W40" i="7"/>
  <c r="W39" i="7"/>
  <c r="N40" i="7"/>
  <c r="N39" i="7"/>
  <c r="X38" i="7"/>
  <c r="W38" i="7"/>
  <c r="V38" i="7"/>
  <c r="U38" i="7"/>
  <c r="T38" i="7"/>
  <c r="S38" i="7"/>
  <c r="R38" i="7"/>
  <c r="Q38" i="7"/>
  <c r="P38" i="7"/>
  <c r="O38" i="7"/>
  <c r="N38" i="7"/>
  <c r="M38" i="7"/>
  <c r="L38" i="7"/>
  <c r="K38" i="7"/>
  <c r="J38" i="7"/>
  <c r="I38" i="7"/>
  <c r="H38" i="7"/>
  <c r="G38" i="7"/>
  <c r="F38" i="7"/>
  <c r="E38" i="7"/>
  <c r="D38" i="7"/>
  <c r="C38" i="7"/>
  <c r="X33" i="7"/>
  <c r="W33" i="7"/>
  <c r="X32" i="7"/>
  <c r="W32" i="7"/>
  <c r="X30" i="7"/>
  <c r="W30" i="7"/>
  <c r="N35" i="7"/>
  <c r="N34" i="7"/>
  <c r="N33" i="7"/>
  <c r="N32" i="7"/>
  <c r="E35" i="7"/>
  <c r="D35" i="7"/>
  <c r="C35" i="7"/>
  <c r="E34" i="7"/>
  <c r="D34" i="7"/>
  <c r="C34" i="7"/>
  <c r="E33" i="7"/>
  <c r="D33" i="7"/>
  <c r="C33" i="7"/>
  <c r="E32" i="7"/>
  <c r="D32" i="7"/>
  <c r="C32" i="7"/>
  <c r="V26" i="7"/>
  <c r="U26" i="7"/>
  <c r="T26" i="7"/>
  <c r="S26" i="7"/>
  <c r="R26" i="7"/>
  <c r="Q26" i="7"/>
  <c r="P26" i="7"/>
  <c r="O26" i="7"/>
  <c r="N26" i="7"/>
  <c r="M26" i="7"/>
  <c r="L26" i="7"/>
  <c r="K26" i="7"/>
  <c r="J26" i="7"/>
  <c r="I26" i="7"/>
  <c r="H26" i="7"/>
  <c r="G26" i="7"/>
  <c r="F26" i="7"/>
  <c r="E26" i="7"/>
  <c r="D26" i="7"/>
  <c r="C26" i="7"/>
  <c r="X25" i="7"/>
  <c r="W25" i="7"/>
  <c r="V25" i="7"/>
  <c r="U25" i="7"/>
  <c r="T25" i="7"/>
  <c r="S25" i="7"/>
  <c r="R25" i="7"/>
  <c r="Q25" i="7"/>
  <c r="P25" i="7"/>
  <c r="O25" i="7"/>
  <c r="N25" i="7"/>
  <c r="M25" i="7"/>
  <c r="L25" i="7"/>
  <c r="K25" i="7"/>
  <c r="J25" i="7"/>
  <c r="I25" i="7"/>
  <c r="H25" i="7"/>
  <c r="G25" i="7"/>
  <c r="F25" i="7"/>
  <c r="E25" i="7"/>
  <c r="D25" i="7"/>
  <c r="C25" i="7"/>
  <c r="D24" i="7"/>
  <c r="C24" i="7"/>
  <c r="D23" i="7"/>
  <c r="C23" i="7"/>
  <c r="D22" i="7"/>
  <c r="C22" i="7"/>
  <c r="X24" i="7"/>
  <c r="W24" i="7"/>
  <c r="V24" i="7"/>
  <c r="U24" i="7"/>
  <c r="T24" i="7"/>
  <c r="S24" i="7"/>
  <c r="R24" i="7"/>
  <c r="Q24" i="7"/>
  <c r="P24" i="7"/>
  <c r="O24" i="7"/>
  <c r="N24" i="7"/>
  <c r="X20" i="7"/>
  <c r="W20" i="7"/>
  <c r="V20" i="7"/>
  <c r="U20" i="7"/>
  <c r="T20" i="7"/>
  <c r="S20" i="7"/>
  <c r="R20" i="7"/>
  <c r="Q20" i="7"/>
  <c r="P20" i="7"/>
  <c r="O20" i="7"/>
  <c r="N20" i="7"/>
  <c r="X19" i="7"/>
  <c r="W19" i="7"/>
  <c r="V19" i="7"/>
  <c r="U19" i="7"/>
  <c r="T19" i="7"/>
  <c r="S19" i="7"/>
  <c r="R19" i="7"/>
  <c r="Q19" i="7"/>
  <c r="P19" i="7"/>
  <c r="O19" i="7"/>
  <c r="N19" i="7"/>
  <c r="X17" i="7"/>
  <c r="W17" i="7"/>
  <c r="V17" i="7"/>
  <c r="U17" i="7"/>
  <c r="T17" i="7"/>
  <c r="S17" i="7"/>
  <c r="R17" i="7"/>
  <c r="Q17" i="7"/>
  <c r="P17" i="7"/>
  <c r="O17" i="7"/>
  <c r="N17" i="7"/>
  <c r="X16" i="7"/>
  <c r="W16" i="7"/>
  <c r="V16" i="7"/>
  <c r="U16" i="7"/>
  <c r="T16" i="7"/>
  <c r="S16" i="7"/>
  <c r="R16" i="7"/>
  <c r="Q16" i="7"/>
  <c r="P16" i="7"/>
  <c r="O16" i="7"/>
  <c r="N16" i="7"/>
  <c r="M16" i="7"/>
  <c r="L16" i="7"/>
  <c r="K16" i="7"/>
  <c r="J16" i="7"/>
  <c r="I16" i="7"/>
  <c r="H16" i="7"/>
  <c r="G16" i="7"/>
  <c r="F16" i="7"/>
  <c r="E16" i="7"/>
  <c r="D16" i="7"/>
  <c r="C16" i="7"/>
  <c r="V14" i="7"/>
  <c r="U14" i="7"/>
  <c r="T14" i="7"/>
  <c r="S14" i="7"/>
  <c r="R14" i="7"/>
  <c r="Q14" i="7"/>
  <c r="P14" i="7"/>
  <c r="O14" i="7"/>
  <c r="V13" i="7"/>
  <c r="U13" i="7"/>
  <c r="T13" i="7"/>
  <c r="S13" i="7"/>
  <c r="R13" i="7"/>
  <c r="Q13" i="7"/>
  <c r="P13" i="7"/>
  <c r="O13" i="7"/>
  <c r="V12" i="7"/>
  <c r="U12" i="7"/>
  <c r="T12" i="7"/>
  <c r="S12" i="7"/>
  <c r="R12" i="7"/>
  <c r="Q12" i="7"/>
  <c r="P12" i="7"/>
  <c r="O12" i="7"/>
  <c r="V11" i="7"/>
  <c r="U11" i="7"/>
  <c r="T11" i="7"/>
  <c r="S11" i="7"/>
  <c r="R11" i="7"/>
  <c r="Q11" i="7"/>
  <c r="P11" i="7"/>
  <c r="O11" i="7"/>
  <c r="V10" i="7"/>
  <c r="U10" i="7"/>
  <c r="T10" i="7"/>
  <c r="S10" i="7"/>
  <c r="R10" i="7"/>
  <c r="Q10" i="7"/>
  <c r="P10" i="7"/>
  <c r="O10" i="7"/>
  <c r="V9" i="7"/>
  <c r="U9" i="7"/>
  <c r="T9" i="7"/>
  <c r="S9" i="7"/>
  <c r="R9" i="7"/>
  <c r="Q9" i="7"/>
  <c r="P9" i="7"/>
  <c r="O9" i="7"/>
  <c r="V8" i="7"/>
  <c r="U8" i="7"/>
  <c r="T8" i="7"/>
  <c r="S8" i="7"/>
  <c r="R8" i="7"/>
  <c r="Q8" i="7"/>
  <c r="P8" i="7"/>
  <c r="O8" i="7"/>
  <c r="V7" i="7"/>
  <c r="U7" i="7"/>
  <c r="T7" i="7"/>
  <c r="S7" i="7"/>
  <c r="R7" i="7"/>
  <c r="Q7" i="7"/>
  <c r="P7" i="7"/>
  <c r="O7" i="7"/>
  <c r="V6" i="7"/>
  <c r="U6" i="7"/>
  <c r="T6" i="7"/>
  <c r="S6" i="7"/>
  <c r="R6" i="7"/>
  <c r="Q6" i="7"/>
  <c r="P6" i="7"/>
  <c r="O6" i="7"/>
  <c r="D15" i="7"/>
  <c r="D14" i="7"/>
  <c r="D13" i="7"/>
  <c r="D12" i="7"/>
  <c r="D11" i="7"/>
  <c r="D10" i="7"/>
  <c r="D9" i="7"/>
  <c r="D8" i="7"/>
  <c r="D7" i="7"/>
  <c r="D6" i="7"/>
  <c r="X5" i="7"/>
  <c r="W5" i="7"/>
  <c r="V5" i="7"/>
  <c r="U5" i="7"/>
  <c r="T5" i="7"/>
  <c r="S5" i="7"/>
  <c r="R5" i="7"/>
  <c r="Q5" i="7"/>
  <c r="P5" i="7"/>
  <c r="O5" i="7"/>
  <c r="N5" i="7"/>
  <c r="L5" i="7"/>
  <c r="K5" i="7"/>
  <c r="J5" i="7"/>
  <c r="I5" i="7"/>
  <c r="H5" i="7"/>
  <c r="G5" i="7"/>
  <c r="F5" i="7"/>
  <c r="E5" i="7"/>
  <c r="D5" i="7"/>
  <c r="C5" i="7"/>
  <c r="X4" i="7"/>
  <c r="W4" i="7"/>
  <c r="V4" i="7"/>
  <c r="U4" i="7"/>
  <c r="T4" i="7"/>
  <c r="S4" i="7"/>
  <c r="R4" i="7"/>
  <c r="Q4" i="7"/>
  <c r="P4" i="7"/>
  <c r="O4" i="7"/>
  <c r="N4" i="7"/>
  <c r="M4" i="7"/>
  <c r="L4" i="7"/>
  <c r="K4" i="7"/>
  <c r="J4" i="7"/>
  <c r="I4" i="7"/>
  <c r="H4" i="7"/>
  <c r="G4" i="7"/>
  <c r="F4" i="7"/>
  <c r="E4" i="7"/>
  <c r="D4" i="7"/>
  <c r="C4" i="7"/>
  <c r="N3" i="7"/>
  <c r="I3" i="7"/>
  <c r="H3" i="7"/>
  <c r="G3" i="7"/>
  <c r="F3" i="7"/>
  <c r="C3" i="7"/>
  <c r="C2" i="7"/>
  <c r="X3" i="7"/>
  <c r="X1" i="7"/>
  <c r="W36" i="7"/>
  <c r="W75" i="7" s="1"/>
  <c r="B7" i="7"/>
  <c r="B8" i="7" s="1"/>
  <c r="B9" i="7" s="1"/>
  <c r="B10" i="7" s="1"/>
  <c r="B11" i="7" s="1"/>
  <c r="B12" i="7" s="1"/>
  <c r="B13" i="7" s="1"/>
  <c r="B14" i="7" s="1"/>
  <c r="B15" i="7" s="1"/>
  <c r="M6" i="7" s="1"/>
  <c r="M7" i="7" s="1"/>
  <c r="M8" i="7" s="1"/>
  <c r="M9" i="7" s="1"/>
  <c r="M10" i="7" s="1"/>
  <c r="M11" i="7" s="1"/>
  <c r="M12" i="7" s="1"/>
  <c r="M13" i="7" s="1"/>
  <c r="M14" i="7" s="1"/>
  <c r="W36" i="6"/>
  <c r="W75" i="6" s="1"/>
  <c r="B7" i="6"/>
  <c r="B8" i="6" s="1"/>
  <c r="B9" i="6" s="1"/>
  <c r="B10" i="6" s="1"/>
  <c r="B11" i="6" s="1"/>
  <c r="B12" i="6" s="1"/>
  <c r="B13" i="6" s="1"/>
  <c r="B14" i="6" s="1"/>
  <c r="B15" i="6" s="1"/>
  <c r="M6" i="6" s="1"/>
  <c r="M7" i="6" s="1"/>
  <c r="M8" i="6" s="1"/>
  <c r="M9" i="6" s="1"/>
  <c r="M10" i="6" s="1"/>
  <c r="M11" i="6" s="1"/>
  <c r="M12" i="6" s="1"/>
  <c r="M13" i="6" s="1"/>
  <c r="M14" i="6" s="1"/>
  <c r="W5" i="6"/>
  <c r="O5" i="6"/>
  <c r="N5" i="6"/>
  <c r="G3" i="5"/>
  <c r="C3" i="3"/>
  <c r="C3" i="8" s="1"/>
  <c r="B14" i="11" l="1"/>
  <c r="E13" i="11"/>
  <c r="L21" i="8"/>
  <c r="L22" i="8" s="1"/>
  <c r="L23" i="8" s="1"/>
  <c r="L24" i="8" s="1"/>
  <c r="L25" i="8" s="1"/>
  <c r="L19" i="8"/>
  <c r="L20" i="8" s="1"/>
  <c r="C3" i="4"/>
  <c r="M18" i="8"/>
  <c r="N120" i="4"/>
  <c r="J113" i="4"/>
  <c r="H91" i="4"/>
  <c r="I91" i="4" s="1"/>
  <c r="H113" i="4"/>
  <c r="I113" i="4" s="1"/>
  <c r="I14" i="4"/>
  <c r="I38" i="4"/>
  <c r="I39" i="4"/>
  <c r="H224" i="4"/>
  <c r="I40" i="4"/>
  <c r="I41" i="4"/>
  <c r="I42" i="4"/>
  <c r="I43" i="4"/>
  <c r="I37" i="4"/>
  <c r="B15" i="11" l="1"/>
  <c r="E14" i="11"/>
  <c r="L27" i="8"/>
  <c r="L28" i="8" s="1"/>
  <c r="L29" i="8" s="1"/>
  <c r="L30" i="8" s="1"/>
  <c r="L31" i="8" s="1"/>
  <c r="L32" i="8" s="1"/>
  <c r="L33" i="8" s="1"/>
  <c r="L26" i="8"/>
  <c r="M21" i="8"/>
  <c r="M22" i="8" s="1"/>
  <c r="M23" i="8" s="1"/>
  <c r="M24" i="8" s="1"/>
  <c r="M25" i="8" s="1"/>
  <c r="M19" i="8"/>
  <c r="M20" i="8" s="1"/>
  <c r="I114" i="4"/>
  <c r="C14" i="4"/>
  <c r="J14" i="4" s="1"/>
  <c r="H3" i="4"/>
  <c r="A1" i="4"/>
  <c r="A1" i="5" s="1"/>
  <c r="H12" i="1"/>
  <c r="H3" i="3"/>
  <c r="A1" i="3"/>
  <c r="F121" i="3"/>
  <c r="I121" i="3" s="1"/>
  <c r="F120" i="3"/>
  <c r="F119" i="3"/>
  <c r="G118" i="3"/>
  <c r="C118" i="3"/>
  <c r="F117" i="3"/>
  <c r="G117" i="3" s="1"/>
  <c r="F116" i="3"/>
  <c r="I116" i="3" s="1"/>
  <c r="F115" i="3"/>
  <c r="I115" i="3" s="1"/>
  <c r="J115" i="3" s="1"/>
  <c r="J116" i="3" s="1"/>
  <c r="G114" i="3"/>
  <c r="C114" i="3"/>
  <c r="L114" i="3" s="1"/>
  <c r="F113" i="3"/>
  <c r="I113" i="3" s="1"/>
  <c r="F112" i="3"/>
  <c r="G112" i="3" s="1"/>
  <c r="G111" i="3"/>
  <c r="C111" i="3"/>
  <c r="F110" i="3"/>
  <c r="G110" i="3" s="1"/>
  <c r="F109" i="3"/>
  <c r="G109" i="3" s="1"/>
  <c r="G108" i="3"/>
  <c r="C108" i="3"/>
  <c r="F107" i="3"/>
  <c r="I107" i="3" s="1"/>
  <c r="F106" i="3"/>
  <c r="G106" i="3" s="1"/>
  <c r="F105" i="3"/>
  <c r="I105" i="3" s="1"/>
  <c r="F104" i="3"/>
  <c r="G104" i="3" s="1"/>
  <c r="G103" i="3"/>
  <c r="C103" i="3"/>
  <c r="F102" i="3"/>
  <c r="G102" i="3" s="1"/>
  <c r="F101" i="3"/>
  <c r="G101" i="3" s="1"/>
  <c r="F100" i="3"/>
  <c r="I100" i="3" s="1"/>
  <c r="F99" i="3"/>
  <c r="I99" i="3" s="1"/>
  <c r="F98" i="3"/>
  <c r="G98" i="3" s="1"/>
  <c r="F97" i="3"/>
  <c r="G97" i="3" s="1"/>
  <c r="F96" i="3"/>
  <c r="G96" i="3" s="1"/>
  <c r="G95" i="3"/>
  <c r="C95" i="3"/>
  <c r="F94" i="3"/>
  <c r="G94" i="3" s="1"/>
  <c r="F93" i="3"/>
  <c r="I93" i="3" s="1"/>
  <c r="F92" i="3"/>
  <c r="G92" i="3" s="1"/>
  <c r="F91" i="3"/>
  <c r="G91" i="3" s="1"/>
  <c r="G90" i="3"/>
  <c r="C90" i="3"/>
  <c r="F89" i="3"/>
  <c r="G89" i="3" s="1"/>
  <c r="F88" i="3"/>
  <c r="I88" i="3" s="1"/>
  <c r="F87" i="3"/>
  <c r="I87" i="3" s="1"/>
  <c r="F86" i="3"/>
  <c r="G86" i="3" s="1"/>
  <c r="G85" i="3"/>
  <c r="C85" i="3"/>
  <c r="F84" i="3"/>
  <c r="G84" i="3" s="1"/>
  <c r="F83" i="3"/>
  <c r="I83" i="3" s="1"/>
  <c r="F82" i="3"/>
  <c r="G82" i="3" s="1"/>
  <c r="F81" i="3"/>
  <c r="G80" i="3"/>
  <c r="C80" i="3"/>
  <c r="C63" i="3"/>
  <c r="F62" i="3"/>
  <c r="G62" i="3" s="1"/>
  <c r="F61" i="3"/>
  <c r="I61" i="3" s="1"/>
  <c r="F60" i="3"/>
  <c r="G60" i="3" s="1"/>
  <c r="F59" i="3"/>
  <c r="G59" i="3" s="1"/>
  <c r="G58" i="3"/>
  <c r="C58" i="3"/>
  <c r="F57" i="3"/>
  <c r="G57" i="3" s="1"/>
  <c r="F56" i="3"/>
  <c r="I56" i="3" s="1"/>
  <c r="F55" i="3"/>
  <c r="I55" i="3" s="1"/>
  <c r="J55" i="3" s="1"/>
  <c r="J56" i="3" s="1"/>
  <c r="G54" i="3"/>
  <c r="C54" i="3"/>
  <c r="L54" i="3" s="1"/>
  <c r="F53" i="3"/>
  <c r="I53" i="3" s="1"/>
  <c r="F52" i="3"/>
  <c r="G52" i="3" s="1"/>
  <c r="F51" i="3"/>
  <c r="G51" i="3" s="1"/>
  <c r="G50" i="3"/>
  <c r="C50" i="3"/>
  <c r="F49" i="3"/>
  <c r="I49" i="3" s="1"/>
  <c r="F48" i="3"/>
  <c r="I48" i="3" s="1"/>
  <c r="F47" i="3"/>
  <c r="G47" i="3" s="1"/>
  <c r="F46" i="3"/>
  <c r="I46" i="3" s="1"/>
  <c r="F45" i="3"/>
  <c r="F44" i="3"/>
  <c r="I44" i="3" s="1"/>
  <c r="F43" i="3"/>
  <c r="G43" i="3" s="1"/>
  <c r="F42" i="3"/>
  <c r="G42" i="3" s="1"/>
  <c r="F41" i="3"/>
  <c r="G40" i="3"/>
  <c r="C40" i="3"/>
  <c r="F39" i="3"/>
  <c r="I39" i="3" s="1"/>
  <c r="F38" i="3"/>
  <c r="I38" i="3" s="1"/>
  <c r="F37" i="3"/>
  <c r="G37" i="3" s="1"/>
  <c r="G36" i="3"/>
  <c r="C36" i="3"/>
  <c r="F35" i="3"/>
  <c r="G35" i="3" s="1"/>
  <c r="F34" i="3"/>
  <c r="I34" i="3" s="1"/>
  <c r="F33" i="3"/>
  <c r="I33" i="3" s="1"/>
  <c r="F32" i="3"/>
  <c r="I32" i="3" s="1"/>
  <c r="F31" i="3"/>
  <c r="G31" i="3" s="1"/>
  <c r="G30" i="3"/>
  <c r="C30" i="3"/>
  <c r="F29" i="3"/>
  <c r="F28" i="3"/>
  <c r="F27" i="3"/>
  <c r="G26" i="3"/>
  <c r="C26" i="3"/>
  <c r="F25" i="3"/>
  <c r="I25" i="3" s="1"/>
  <c r="F24" i="3"/>
  <c r="G23" i="3"/>
  <c r="C23" i="3"/>
  <c r="F22" i="3"/>
  <c r="I22" i="3" s="1"/>
  <c r="F21" i="3"/>
  <c r="G21" i="3" s="1"/>
  <c r="F20" i="3"/>
  <c r="I20" i="3" s="1"/>
  <c r="F19" i="3"/>
  <c r="F18" i="3"/>
  <c r="I18" i="3" s="1"/>
  <c r="F17" i="3"/>
  <c r="G16" i="3"/>
  <c r="C16" i="3"/>
  <c r="B7" i="3"/>
  <c r="H24" i="1"/>
  <c r="H23" i="1"/>
  <c r="H13" i="1"/>
  <c r="H10" i="1"/>
  <c r="A24" i="1"/>
  <c r="B25" i="1" s="1"/>
  <c r="F45" i="1"/>
  <c r="F44" i="1"/>
  <c r="E45" i="1"/>
  <c r="D45" i="1" s="1"/>
  <c r="H45" i="1" s="1"/>
  <c r="E44" i="1"/>
  <c r="D44" i="1" s="1"/>
  <c r="H44" i="1" s="1"/>
  <c r="F43" i="1"/>
  <c r="F42" i="1"/>
  <c r="E43" i="1"/>
  <c r="D43" i="1" s="1"/>
  <c r="H43" i="1" s="1"/>
  <c r="E42" i="1"/>
  <c r="D42" i="1" s="1"/>
  <c r="H42" i="1" s="1"/>
  <c r="E27" i="1"/>
  <c r="D27" i="1" s="1"/>
  <c r="H27" i="1" s="1"/>
  <c r="F19" i="1"/>
  <c r="F18" i="1"/>
  <c r="F14" i="1"/>
  <c r="E19" i="1"/>
  <c r="D19" i="1" s="1"/>
  <c r="H19" i="1" s="1"/>
  <c r="C19" i="1" s="1"/>
  <c r="B20" i="1" s="1"/>
  <c r="H20" i="1" s="1"/>
  <c r="E18" i="1"/>
  <c r="D18" i="1" s="1"/>
  <c r="H18" i="1" s="1"/>
  <c r="E14" i="1"/>
  <c r="B5" i="4" l="1"/>
  <c r="E15" i="11"/>
  <c r="M6" i="11"/>
  <c r="L34" i="8"/>
  <c r="M27" i="8"/>
  <c r="M28" i="8" s="1"/>
  <c r="M29" i="8" s="1"/>
  <c r="M30" i="8" s="1"/>
  <c r="M31" i="8" s="1"/>
  <c r="M32" i="8" s="1"/>
  <c r="M33" i="8" s="1"/>
  <c r="M26" i="8"/>
  <c r="I45" i="3"/>
  <c r="C28" i="9"/>
  <c r="I41" i="3"/>
  <c r="J41" i="3" s="1"/>
  <c r="J3" i="6"/>
  <c r="H22" i="8"/>
  <c r="I22" i="8" s="1"/>
  <c r="C18" i="1"/>
  <c r="B12" i="3"/>
  <c r="E64" i="3" s="1"/>
  <c r="M14" i="4"/>
  <c r="M15" i="4" s="1"/>
  <c r="L15" i="4"/>
  <c r="L16" i="4" s="1"/>
  <c r="L17" i="4" s="1"/>
  <c r="L18" i="4" s="1"/>
  <c r="L19" i="4" s="1"/>
  <c r="L20" i="4" s="1"/>
  <c r="L21" i="4" s="1"/>
  <c r="L22" i="4" s="1"/>
  <c r="L23" i="4" s="1"/>
  <c r="L24" i="4" s="1"/>
  <c r="L25" i="4" s="1"/>
  <c r="L26" i="4" s="1"/>
  <c r="L27" i="4" s="1"/>
  <c r="L28" i="4" s="1"/>
  <c r="L29" i="4" s="1"/>
  <c r="L30" i="4" s="1"/>
  <c r="L31" i="4" s="1"/>
  <c r="L32" i="4" s="1"/>
  <c r="L33" i="4" s="1"/>
  <c r="L34" i="4" s="1"/>
  <c r="L35" i="4" s="1"/>
  <c r="L36" i="4" s="1"/>
  <c r="L37" i="4" s="1"/>
  <c r="L38" i="4" s="1"/>
  <c r="L39" i="4" s="1"/>
  <c r="L40" i="4" s="1"/>
  <c r="L41" i="4" s="1"/>
  <c r="L42" i="4" s="1"/>
  <c r="L43" i="4" s="1"/>
  <c r="L44" i="4" s="1"/>
  <c r="L45" i="4" s="1"/>
  <c r="L46" i="4" s="1"/>
  <c r="L47" i="4" s="1"/>
  <c r="L48" i="4" s="1"/>
  <c r="L49" i="4" s="1"/>
  <c r="L50" i="4" s="1"/>
  <c r="L51" i="4" s="1"/>
  <c r="L52" i="4" s="1"/>
  <c r="L53" i="4" s="1"/>
  <c r="L54" i="4" s="1"/>
  <c r="L55" i="4" s="1"/>
  <c r="L56" i="4" s="1"/>
  <c r="L57" i="4" s="1"/>
  <c r="L58" i="4" s="1"/>
  <c r="L59" i="4" s="1"/>
  <c r="L60" i="4" s="1"/>
  <c r="L61" i="4" s="1"/>
  <c r="L62" i="4" s="1"/>
  <c r="L63" i="4" s="1"/>
  <c r="L64" i="4" s="1"/>
  <c r="L65" i="4" s="1"/>
  <c r="L66" i="4" s="1"/>
  <c r="I115" i="4"/>
  <c r="L40" i="3"/>
  <c r="I103" i="3"/>
  <c r="L103" i="3"/>
  <c r="B96" i="8"/>
  <c r="B279" i="4"/>
  <c r="N10" i="6" s="1"/>
  <c r="B94" i="8"/>
  <c r="L90" i="3"/>
  <c r="I26" i="3"/>
  <c r="L26" i="3"/>
  <c r="B84" i="8"/>
  <c r="B267" i="4"/>
  <c r="C8" i="6" s="1"/>
  <c r="I111" i="3"/>
  <c r="L111" i="3"/>
  <c r="B98" i="8"/>
  <c r="B281" i="4"/>
  <c r="N12" i="6" s="1"/>
  <c r="L16" i="3"/>
  <c r="K16" i="3" s="1"/>
  <c r="K23" i="3" s="1"/>
  <c r="L23" i="3"/>
  <c r="L36" i="3"/>
  <c r="L50" i="3"/>
  <c r="L63" i="3"/>
  <c r="B91" i="8"/>
  <c r="B274" i="4"/>
  <c r="C15" i="6" s="1"/>
  <c r="I85" i="3"/>
  <c r="L85" i="3"/>
  <c r="B93" i="8"/>
  <c r="B276" i="4"/>
  <c r="N7" i="6" s="1"/>
  <c r="L118" i="3"/>
  <c r="B100" i="8"/>
  <c r="I108" i="3"/>
  <c r="L108" i="3"/>
  <c r="B97" i="8"/>
  <c r="B280" i="4"/>
  <c r="N11" i="6" s="1"/>
  <c r="L95" i="3"/>
  <c r="B95" i="8"/>
  <c r="L30" i="3"/>
  <c r="L58" i="3"/>
  <c r="I80" i="3"/>
  <c r="L80" i="3"/>
  <c r="B92" i="8"/>
  <c r="B275" i="4"/>
  <c r="N6" i="6" s="1"/>
  <c r="B82" i="8"/>
  <c r="I36" i="3"/>
  <c r="B86" i="8"/>
  <c r="B269" i="4"/>
  <c r="C10" i="6" s="1"/>
  <c r="I30" i="3"/>
  <c r="B85" i="8"/>
  <c r="B268" i="4"/>
  <c r="C9" i="6" s="1"/>
  <c r="I23" i="3"/>
  <c r="B83" i="8"/>
  <c r="B266" i="4"/>
  <c r="C7" i="6" s="1"/>
  <c r="I114" i="3"/>
  <c r="B99" i="8"/>
  <c r="B282" i="4"/>
  <c r="N13" i="6" s="1"/>
  <c r="I58" i="3"/>
  <c r="B90" i="8"/>
  <c r="B273" i="4"/>
  <c r="C14" i="6" s="1"/>
  <c r="I50" i="3"/>
  <c r="B88" i="8"/>
  <c r="B271" i="4"/>
  <c r="C12" i="6" s="1"/>
  <c r="I40" i="3"/>
  <c r="B87" i="8"/>
  <c r="B270" i="4"/>
  <c r="C11" i="6" s="1"/>
  <c r="I54" i="3"/>
  <c r="B89" i="8"/>
  <c r="B272" i="4"/>
  <c r="C13" i="6" s="1"/>
  <c r="H31" i="8"/>
  <c r="I31" i="8" s="1"/>
  <c r="A146" i="8"/>
  <c r="A118" i="8"/>
  <c r="A182" i="8"/>
  <c r="A174" i="8"/>
  <c r="A142" i="8"/>
  <c r="A189" i="8"/>
  <c r="A179" i="8"/>
  <c r="A114" i="8"/>
  <c r="A185" i="8"/>
  <c r="A161" i="8"/>
  <c r="A128" i="8"/>
  <c r="A111" i="8"/>
  <c r="A151" i="8"/>
  <c r="A166" i="8"/>
  <c r="A124" i="8"/>
  <c r="A156" i="8"/>
  <c r="C36" i="7"/>
  <c r="C75" i="7" s="1"/>
  <c r="C36" i="6"/>
  <c r="C75" i="6" s="1"/>
  <c r="H25" i="1"/>
  <c r="A349" i="4"/>
  <c r="A301" i="4"/>
  <c r="A368" i="4"/>
  <c r="A329" i="4"/>
  <c r="A325" i="4"/>
  <c r="A307" i="4"/>
  <c r="A344" i="4"/>
  <c r="A297" i="4"/>
  <c r="A357" i="4"/>
  <c r="A339" i="4"/>
  <c r="A294" i="4"/>
  <c r="A372" i="4"/>
  <c r="A334" i="4"/>
  <c r="A365" i="4"/>
  <c r="A362" i="4"/>
  <c r="A311" i="4"/>
  <c r="I81" i="3"/>
  <c r="J81" i="3" s="1"/>
  <c r="J82" i="3" s="1"/>
  <c r="J83" i="3" s="1"/>
  <c r="J84" i="3" s="1"/>
  <c r="M80" i="3" s="1"/>
  <c r="I16" i="3"/>
  <c r="B265" i="4"/>
  <c r="C6" i="6" s="1"/>
  <c r="G120" i="3"/>
  <c r="G119" i="3"/>
  <c r="I27" i="3"/>
  <c r="J27" i="3" s="1"/>
  <c r="I28" i="3"/>
  <c r="G29" i="3"/>
  <c r="I19" i="3"/>
  <c r="I24" i="3"/>
  <c r="J24" i="3" s="1"/>
  <c r="J25" i="3" s="1"/>
  <c r="M23" i="3" s="1"/>
  <c r="G17" i="3"/>
  <c r="I95" i="3"/>
  <c r="B278" i="4"/>
  <c r="N9" i="6" s="1"/>
  <c r="I118" i="3"/>
  <c r="B283" i="4"/>
  <c r="N14" i="6" s="1"/>
  <c r="I90" i="3"/>
  <c r="B277" i="4"/>
  <c r="N8" i="6" s="1"/>
  <c r="B265" i="2"/>
  <c r="B275" i="2"/>
  <c r="A117" i="4" s="1"/>
  <c r="B271" i="2"/>
  <c r="B196" i="2"/>
  <c r="B227" i="2"/>
  <c r="B236" i="2"/>
  <c r="B237" i="2"/>
  <c r="B5" i="3"/>
  <c r="B8" i="3" s="1"/>
  <c r="D3" i="6"/>
  <c r="B199" i="2"/>
  <c r="B242" i="2"/>
  <c r="B203" i="2"/>
  <c r="B247" i="2"/>
  <c r="B209" i="2"/>
  <c r="B252" i="2"/>
  <c r="B213" i="2"/>
  <c r="B260" i="2"/>
  <c r="B231" i="2"/>
  <c r="B268" i="2"/>
  <c r="I51" i="3"/>
  <c r="J51" i="3" s="1"/>
  <c r="I92" i="3"/>
  <c r="I102" i="3"/>
  <c r="I17" i="3"/>
  <c r="I96" i="3"/>
  <c r="J96" i="3" s="1"/>
  <c r="J97" i="3" s="1"/>
  <c r="I62" i="3"/>
  <c r="I82" i="3"/>
  <c r="I97" i="3"/>
  <c r="I43" i="3"/>
  <c r="G53" i="3"/>
  <c r="I89" i="3"/>
  <c r="M85" i="3" s="1"/>
  <c r="I94" i="3"/>
  <c r="M90" i="3" s="1"/>
  <c r="G38" i="3"/>
  <c r="I104" i="3"/>
  <c r="J104" i="3" s="1"/>
  <c r="J105" i="3" s="1"/>
  <c r="I109" i="3"/>
  <c r="J109" i="3" s="1"/>
  <c r="I31" i="3"/>
  <c r="J31" i="3" s="1"/>
  <c r="J32" i="3" s="1"/>
  <c r="J33" i="3" s="1"/>
  <c r="J34" i="3" s="1"/>
  <c r="G19" i="3"/>
  <c r="G45" i="3"/>
  <c r="I60" i="3"/>
  <c r="I29" i="3"/>
  <c r="G55" i="3"/>
  <c r="I106" i="3"/>
  <c r="I117" i="3"/>
  <c r="J117" i="3" s="1"/>
  <c r="M114" i="3" s="1"/>
  <c r="G28" i="3"/>
  <c r="I119" i="3"/>
  <c r="J119" i="3" s="1"/>
  <c r="G87" i="3"/>
  <c r="I91" i="3"/>
  <c r="J91" i="3" s="1"/>
  <c r="G107" i="3"/>
  <c r="G115" i="3"/>
  <c r="G20" i="3"/>
  <c r="G24" i="3"/>
  <c r="G33" i="3"/>
  <c r="I42" i="3"/>
  <c r="J42" i="3" s="1"/>
  <c r="G46" i="3"/>
  <c r="I59" i="3"/>
  <c r="J59" i="3" s="1"/>
  <c r="J60" i="3" s="1"/>
  <c r="J61" i="3" s="1"/>
  <c r="J62" i="3" s="1"/>
  <c r="G83" i="3"/>
  <c r="G99" i="3"/>
  <c r="I120" i="3"/>
  <c r="G34" i="3"/>
  <c r="I101" i="3"/>
  <c r="M95" i="3" s="1"/>
  <c r="G113" i="3"/>
  <c r="G22" i="3"/>
  <c r="G48" i="3"/>
  <c r="I57" i="3"/>
  <c r="J57" i="3" s="1"/>
  <c r="M54" i="3" s="1"/>
  <c r="B9" i="3"/>
  <c r="B23" i="3"/>
  <c r="B54" i="3"/>
  <c r="B114" i="3"/>
  <c r="F8" i="3"/>
  <c r="B16" i="3"/>
  <c r="G27" i="3"/>
  <c r="G56" i="3"/>
  <c r="G100" i="3"/>
  <c r="G116" i="3"/>
  <c r="I21" i="3"/>
  <c r="I35" i="3"/>
  <c r="I37" i="3"/>
  <c r="J37" i="3" s="1"/>
  <c r="J38" i="3" s="1"/>
  <c r="J39" i="3" s="1"/>
  <c r="M36" i="3" s="1"/>
  <c r="I47" i="3"/>
  <c r="I52" i="3"/>
  <c r="B80" i="3"/>
  <c r="I84" i="3"/>
  <c r="I86" i="3"/>
  <c r="J86" i="3" s="1"/>
  <c r="J87" i="3" s="1"/>
  <c r="J88" i="3" s="1"/>
  <c r="I98" i="3"/>
  <c r="I110" i="3"/>
  <c r="I112" i="3"/>
  <c r="J112" i="3" s="1"/>
  <c r="J113" i="3" s="1"/>
  <c r="M111" i="3" s="1"/>
  <c r="B36" i="3"/>
  <c r="B85" i="3"/>
  <c r="B111" i="3"/>
  <c r="B58" i="3"/>
  <c r="B90" i="3"/>
  <c r="B118" i="3"/>
  <c r="B63" i="3"/>
  <c r="B95" i="3"/>
  <c r="G25" i="3"/>
  <c r="B30" i="3"/>
  <c r="G39" i="3"/>
  <c r="G41" i="3"/>
  <c r="G49" i="3"/>
  <c r="G88" i="3"/>
  <c r="B103" i="3"/>
  <c r="G18" i="3"/>
  <c r="G32" i="3"/>
  <c r="G44" i="3"/>
  <c r="G61" i="3"/>
  <c r="G81" i="3"/>
  <c r="G93" i="3"/>
  <c r="G105" i="3"/>
  <c r="B108" i="3"/>
  <c r="G121" i="3"/>
  <c r="B26" i="3"/>
  <c r="B40" i="3"/>
  <c r="D14" i="1"/>
  <c r="L56" i="8" l="1"/>
  <c r="L57" i="8" s="1"/>
  <c r="L58" i="8" s="1"/>
  <c r="L59" i="8" s="1"/>
  <c r="L60" i="8" s="1"/>
  <c r="L61" i="8" s="1"/>
  <c r="L62" i="8" s="1"/>
  <c r="L63" i="8" s="1"/>
  <c r="L64" i="8" s="1"/>
  <c r="L65" i="8" s="1"/>
  <c r="L66" i="8" s="1"/>
  <c r="L67" i="8" s="1"/>
  <c r="L68" i="8" s="1"/>
  <c r="L69" i="8" s="1"/>
  <c r="L72" i="8" s="1"/>
  <c r="L73" i="8" s="1"/>
  <c r="L74" i="8" s="1"/>
  <c r="B18" i="9" s="1"/>
  <c r="W21" i="6"/>
  <c r="C21" i="9" s="1"/>
  <c r="W21" i="11"/>
  <c r="W6" i="11"/>
  <c r="M7" i="11"/>
  <c r="C27" i="9"/>
  <c r="H358" i="2"/>
  <c r="F358" i="2" s="1"/>
  <c r="M34" i="8"/>
  <c r="H70" i="4"/>
  <c r="I70" i="4" s="1"/>
  <c r="L67" i="4"/>
  <c r="L68" i="4" s="1"/>
  <c r="L69" i="4" s="1"/>
  <c r="H384" i="2"/>
  <c r="F384" i="2" s="1"/>
  <c r="H388" i="2"/>
  <c r="F388" i="2" s="1"/>
  <c r="K26" i="3"/>
  <c r="K30" i="3" s="1"/>
  <c r="K36" i="3" s="1"/>
  <c r="K40" i="3" s="1"/>
  <c r="K50" i="3" s="1"/>
  <c r="K54" i="3" s="1"/>
  <c r="K58" i="3" s="1"/>
  <c r="K63" i="3" s="1"/>
  <c r="K80" i="3" s="1"/>
  <c r="K85" i="3" s="1"/>
  <c r="K90" i="3" s="1"/>
  <c r="K95" i="3" s="1"/>
  <c r="K103" i="3" s="1"/>
  <c r="K108" i="3" s="1"/>
  <c r="K111" i="3" s="1"/>
  <c r="K114" i="3" s="1"/>
  <c r="K118" i="3" s="1"/>
  <c r="D11" i="9" s="1"/>
  <c r="C13" i="3"/>
  <c r="B8" i="8"/>
  <c r="E119" i="3"/>
  <c r="H29" i="1"/>
  <c r="H31" i="1"/>
  <c r="H39" i="1"/>
  <c r="H35" i="1"/>
  <c r="H33" i="1"/>
  <c r="H37" i="1"/>
  <c r="H41" i="1"/>
  <c r="M58" i="3"/>
  <c r="M16" i="4"/>
  <c r="M17" i="4" s="1"/>
  <c r="M18" i="4" s="1"/>
  <c r="M19" i="4" s="1"/>
  <c r="M20" i="4" s="1"/>
  <c r="M21" i="4" s="1"/>
  <c r="M22" i="4" s="1"/>
  <c r="M23" i="4" s="1"/>
  <c r="M24" i="4" s="1"/>
  <c r="M25" i="4" s="1"/>
  <c r="M26" i="4" s="1"/>
  <c r="M27" i="4" s="1"/>
  <c r="M28" i="4" s="1"/>
  <c r="M29" i="4" s="1"/>
  <c r="M30" i="4" s="1"/>
  <c r="M31" i="4" s="1"/>
  <c r="M32" i="4" s="1"/>
  <c r="M33" i="4" s="1"/>
  <c r="M34" i="4" s="1"/>
  <c r="M35" i="4" s="1"/>
  <c r="M36" i="4" s="1"/>
  <c r="M37" i="4" s="1"/>
  <c r="M38" i="4" s="1"/>
  <c r="M39" i="4" s="1"/>
  <c r="M40" i="4" s="1"/>
  <c r="M41" i="4" s="1"/>
  <c r="M42" i="4" s="1"/>
  <c r="M43" i="4" s="1"/>
  <c r="M44" i="4" s="1"/>
  <c r="M45" i="4" s="1"/>
  <c r="M46" i="4" s="1"/>
  <c r="M47" i="4" s="1"/>
  <c r="M48" i="4" s="1"/>
  <c r="M49" i="4" s="1"/>
  <c r="M50" i="4" s="1"/>
  <c r="M51" i="4" s="1"/>
  <c r="M52" i="4" s="1"/>
  <c r="M53" i="4" s="1"/>
  <c r="M54" i="4" s="1"/>
  <c r="M55" i="4" s="1"/>
  <c r="M56" i="4" s="1"/>
  <c r="M57" i="4" s="1"/>
  <c r="M58" i="4" s="1"/>
  <c r="M59" i="4" s="1"/>
  <c r="M60" i="4" s="1"/>
  <c r="M61" i="4" s="1"/>
  <c r="M62" i="4" s="1"/>
  <c r="M63" i="4" s="1"/>
  <c r="M64" i="4" s="1"/>
  <c r="M65" i="4" s="1"/>
  <c r="M66" i="4" s="1"/>
  <c r="I116" i="4"/>
  <c r="J35" i="3"/>
  <c r="M30" i="3" s="1"/>
  <c r="J92" i="3"/>
  <c r="J43" i="3"/>
  <c r="J44" i="3" s="1"/>
  <c r="J45" i="3" s="1"/>
  <c r="J46" i="3" s="1"/>
  <c r="J47" i="3" s="1"/>
  <c r="J48" i="3" s="1"/>
  <c r="J49" i="3" s="1"/>
  <c r="M40" i="3" s="1"/>
  <c r="J52" i="3"/>
  <c r="J53" i="3" s="1"/>
  <c r="M50" i="3" s="1"/>
  <c r="J28" i="3"/>
  <c r="J29" i="3" s="1"/>
  <c r="M26" i="3" s="1"/>
  <c r="J110" i="3"/>
  <c r="M108" i="3" s="1"/>
  <c r="J106" i="3"/>
  <c r="J107" i="3" s="1"/>
  <c r="M103" i="3" s="1"/>
  <c r="B335" i="4"/>
  <c r="H110" i="4" s="1"/>
  <c r="I110" i="4" s="1"/>
  <c r="B186" i="8"/>
  <c r="B178" i="8"/>
  <c r="B170" i="8"/>
  <c r="B162" i="8"/>
  <c r="B154" i="8"/>
  <c r="B137" i="8"/>
  <c r="B129" i="8"/>
  <c r="B121" i="8"/>
  <c r="B113" i="8"/>
  <c r="B105" i="8"/>
  <c r="B184" i="8"/>
  <c r="B168" i="8"/>
  <c r="B152" i="8"/>
  <c r="B135" i="8"/>
  <c r="B119" i="8"/>
  <c r="B183" i="8"/>
  <c r="B167" i="8"/>
  <c r="B159" i="8"/>
  <c r="B134" i="8"/>
  <c r="B190" i="8"/>
  <c r="B158" i="8"/>
  <c r="B133" i="8"/>
  <c r="B117" i="8"/>
  <c r="B173" i="8"/>
  <c r="B157" i="8"/>
  <c r="B149" i="8"/>
  <c r="B132" i="8"/>
  <c r="B108" i="8"/>
  <c r="B180" i="8"/>
  <c r="B164" i="8"/>
  <c r="B140" i="8"/>
  <c r="B123" i="8"/>
  <c r="B107" i="8"/>
  <c r="B163" i="8"/>
  <c r="B139" i="8"/>
  <c r="B106" i="8"/>
  <c r="B177" i="8"/>
  <c r="B169" i="8"/>
  <c r="B153" i="8"/>
  <c r="B145" i="8"/>
  <c r="B136" i="8"/>
  <c r="B120" i="8"/>
  <c r="B112" i="8"/>
  <c r="B192" i="8"/>
  <c r="B176" i="8"/>
  <c r="B160" i="8"/>
  <c r="B144" i="8"/>
  <c r="B127" i="8"/>
  <c r="B191" i="8"/>
  <c r="B175" i="8"/>
  <c r="B143" i="8"/>
  <c r="B126" i="8"/>
  <c r="B110" i="8"/>
  <c r="B150" i="8"/>
  <c r="B125" i="8"/>
  <c r="B109" i="8"/>
  <c r="B181" i="8"/>
  <c r="B165" i="8"/>
  <c r="B141" i="8"/>
  <c r="B116" i="8"/>
  <c r="B188" i="8"/>
  <c r="B172" i="8"/>
  <c r="B148" i="8"/>
  <c r="B131" i="8"/>
  <c r="B115" i="8"/>
  <c r="B187" i="8"/>
  <c r="B171" i="8"/>
  <c r="B155" i="8"/>
  <c r="B147" i="8"/>
  <c r="B130" i="8"/>
  <c r="B122" i="8"/>
  <c r="B5" i="8"/>
  <c r="B9" i="4"/>
  <c r="D6" i="4" s="1"/>
  <c r="B13" i="4"/>
  <c r="B300" i="4"/>
  <c r="H177" i="4"/>
  <c r="H241" i="4"/>
  <c r="H191" i="4"/>
  <c r="I191" i="4" s="1"/>
  <c r="H200" i="4"/>
  <c r="H202" i="4"/>
  <c r="H189" i="4"/>
  <c r="H128" i="4"/>
  <c r="H196" i="4"/>
  <c r="H183" i="4"/>
  <c r="H136" i="4"/>
  <c r="I136" i="4" s="1"/>
  <c r="H199" i="4"/>
  <c r="H254" i="4"/>
  <c r="H135" i="4"/>
  <c r="H138" i="4"/>
  <c r="H220" i="4"/>
  <c r="I220" i="4" s="1"/>
  <c r="H160" i="4"/>
  <c r="H255" i="4"/>
  <c r="H159" i="4"/>
  <c r="H185" i="4"/>
  <c r="H145" i="4"/>
  <c r="H229" i="4"/>
  <c r="H142" i="4"/>
  <c r="H186" i="4"/>
  <c r="H218" i="4"/>
  <c r="H168" i="4"/>
  <c r="H181" i="4"/>
  <c r="H188" i="4"/>
  <c r="H155" i="4"/>
  <c r="I155" i="4" s="1"/>
  <c r="H174" i="4"/>
  <c r="H111" i="4"/>
  <c r="H170" i="4"/>
  <c r="H143" i="4"/>
  <c r="H179" i="4"/>
  <c r="H140" i="4"/>
  <c r="H107" i="4"/>
  <c r="I107" i="4" s="1"/>
  <c r="H165" i="4"/>
  <c r="H231" i="4"/>
  <c r="H175" i="4"/>
  <c r="H235" i="4"/>
  <c r="I235" i="4" s="1"/>
  <c r="H163" i="4"/>
  <c r="H132" i="4"/>
  <c r="H221" i="4"/>
  <c r="I221" i="4" s="1"/>
  <c r="H162" i="4"/>
  <c r="H206" i="4"/>
  <c r="I206" i="4" s="1"/>
  <c r="H236" i="4"/>
  <c r="I236" i="4" s="1"/>
  <c r="H152" i="4"/>
  <c r="H86" i="4"/>
  <c r="I86" i="4" s="1"/>
  <c r="H172" i="4"/>
  <c r="H209" i="4"/>
  <c r="H198" i="4"/>
  <c r="I198" i="4" s="1"/>
  <c r="H244" i="4"/>
  <c r="I244" i="4" s="1"/>
  <c r="H193" i="4"/>
  <c r="H252" i="4"/>
  <c r="H246" i="4"/>
  <c r="I246" i="4" s="1"/>
  <c r="H28" i="4"/>
  <c r="I28" i="4" s="1"/>
  <c r="H130" i="4"/>
  <c r="H157" i="4"/>
  <c r="H161" i="4"/>
  <c r="H257" i="4"/>
  <c r="H207" i="4"/>
  <c r="I207" i="4" s="1"/>
  <c r="H166" i="4"/>
  <c r="H230" i="4"/>
  <c r="H239" i="4"/>
  <c r="H133" i="4"/>
  <c r="H150" i="4"/>
  <c r="H248" i="4"/>
  <c r="H167" i="4"/>
  <c r="H242" i="4"/>
  <c r="I242" i="4" s="1"/>
  <c r="H51" i="4"/>
  <c r="I51" i="4" s="1"/>
  <c r="H54" i="4"/>
  <c r="H251" i="4"/>
  <c r="I251" i="4" s="1"/>
  <c r="H204" i="4"/>
  <c r="H101" i="4"/>
  <c r="I101" i="4" s="1"/>
  <c r="H154" i="4"/>
  <c r="I154" i="4" s="1"/>
  <c r="H126" i="4"/>
  <c r="H16" i="4"/>
  <c r="H194" i="4"/>
  <c r="H210" i="4"/>
  <c r="H208" i="4"/>
  <c r="H156" i="4"/>
  <c r="I156" i="4" s="1"/>
  <c r="H201" i="4"/>
  <c r="I201" i="4" s="1"/>
  <c r="H148" i="4"/>
  <c r="H146" i="4"/>
  <c r="H121" i="4"/>
  <c r="H56" i="4"/>
  <c r="H108" i="4"/>
  <c r="H169" i="4"/>
  <c r="I169" i="4" s="1"/>
  <c r="H72" i="4"/>
  <c r="I72" i="4" s="1"/>
  <c r="H35" i="4"/>
  <c r="H87" i="4"/>
  <c r="B288" i="4"/>
  <c r="B299" i="4"/>
  <c r="B374" i="4"/>
  <c r="B295" i="4"/>
  <c r="H17" i="4" s="1"/>
  <c r="B298" i="4"/>
  <c r="B293" i="4"/>
  <c r="B309" i="4"/>
  <c r="B318" i="4"/>
  <c r="H187" i="4" s="1"/>
  <c r="B328" i="4"/>
  <c r="B340" i="4"/>
  <c r="B350" i="4"/>
  <c r="B359" i="4"/>
  <c r="B370" i="4"/>
  <c r="B304" i="4"/>
  <c r="B323" i="4"/>
  <c r="B345" i="4"/>
  <c r="B315" i="4"/>
  <c r="H164" i="4" s="1"/>
  <c r="B338" i="4"/>
  <c r="H88" i="4" s="1"/>
  <c r="B296" i="4"/>
  <c r="H222" i="4" s="1"/>
  <c r="I222" i="4" s="1"/>
  <c r="B310" i="4"/>
  <c r="B319" i="4"/>
  <c r="H190" i="4" s="1"/>
  <c r="B330" i="4"/>
  <c r="B341" i="4"/>
  <c r="B351" i="4"/>
  <c r="B360" i="4"/>
  <c r="B371" i="4"/>
  <c r="B314" i="4"/>
  <c r="H158" i="4" s="1"/>
  <c r="B333" i="4"/>
  <c r="H195" i="4" s="1"/>
  <c r="B364" i="4"/>
  <c r="H57" i="4" s="1"/>
  <c r="B289" i="4"/>
  <c r="B336" i="4"/>
  <c r="B355" i="4"/>
  <c r="B317" i="4"/>
  <c r="H180" i="4" s="1"/>
  <c r="B302" i="4"/>
  <c r="H127" i="4" s="1"/>
  <c r="B312" i="4"/>
  <c r="H131" i="4" s="1"/>
  <c r="B320" i="4"/>
  <c r="H197" i="4" s="1"/>
  <c r="B331" i="4"/>
  <c r="B342" i="4"/>
  <c r="B352" i="4"/>
  <c r="B361" i="4"/>
  <c r="B375" i="4"/>
  <c r="B354" i="4"/>
  <c r="B305" i="4"/>
  <c r="B346" i="4"/>
  <c r="B366" i="4"/>
  <c r="B327" i="4"/>
  <c r="H36" i="4" s="1"/>
  <c r="B303" i="4"/>
  <c r="B313" i="4"/>
  <c r="H144" i="4" s="1"/>
  <c r="B322" i="4"/>
  <c r="H153" i="4" s="1"/>
  <c r="B332" i="4"/>
  <c r="H147" i="4" s="1"/>
  <c r="B343" i="4"/>
  <c r="B353" i="4"/>
  <c r="B363" i="4"/>
  <c r="H55" i="4" s="1"/>
  <c r="B324" i="4"/>
  <c r="B358" i="4"/>
  <c r="H249" i="4" s="1"/>
  <c r="B291" i="4"/>
  <c r="B306" i="4"/>
  <c r="B316" i="4"/>
  <c r="H176" i="4" s="1"/>
  <c r="B326" i="4"/>
  <c r="H73" i="4" s="1"/>
  <c r="B337" i="4"/>
  <c r="H205" i="4" s="1"/>
  <c r="B347" i="4"/>
  <c r="B356" i="4"/>
  <c r="B367" i="4"/>
  <c r="H122" i="4" s="1"/>
  <c r="B292" i="4"/>
  <c r="B308" i="4"/>
  <c r="B348" i="4"/>
  <c r="B369" i="4"/>
  <c r="H256" i="4" s="1"/>
  <c r="B290" i="4"/>
  <c r="B373" i="4"/>
  <c r="H192" i="4"/>
  <c r="H223" i="4"/>
  <c r="I223" i="4" s="1"/>
  <c r="H18" i="4"/>
  <c r="I18" i="4" s="1"/>
  <c r="J120" i="3"/>
  <c r="J121" i="3" s="1"/>
  <c r="M118" i="3" s="1"/>
  <c r="J17" i="3"/>
  <c r="J18" i="3" s="1"/>
  <c r="J19" i="3" s="1"/>
  <c r="J20" i="3" s="1"/>
  <c r="J21" i="3" s="1"/>
  <c r="J22" i="3" s="1"/>
  <c r="M16" i="3" s="1"/>
  <c r="H59" i="4"/>
  <c r="I59" i="4" s="1"/>
  <c r="H237" i="4"/>
  <c r="I237" i="4" s="1"/>
  <c r="H93" i="4"/>
  <c r="I93" i="4" s="1"/>
  <c r="H25" i="4"/>
  <c r="H109" i="4"/>
  <c r="H106" i="4"/>
  <c r="I106" i="4" s="1"/>
  <c r="H27" i="4"/>
  <c r="I27" i="4" s="1"/>
  <c r="H75" i="4"/>
  <c r="I75" i="4" s="1"/>
  <c r="H26" i="4"/>
  <c r="H52" i="4"/>
  <c r="I52" i="4" s="1"/>
  <c r="H44" i="4"/>
  <c r="B10" i="3"/>
  <c r="H9" i="3" s="1"/>
  <c r="F9" i="3"/>
  <c r="F10" i="3" s="1"/>
  <c r="H10" i="3" s="1"/>
  <c r="E112" i="3"/>
  <c r="E115" i="3"/>
  <c r="E104" i="3"/>
  <c r="E109" i="3"/>
  <c r="E91" i="3"/>
  <c r="E96" i="3"/>
  <c r="E81" i="3"/>
  <c r="E86" i="3"/>
  <c r="E55" i="3"/>
  <c r="E59" i="3"/>
  <c r="E41" i="3"/>
  <c r="E51" i="3"/>
  <c r="E37" i="3"/>
  <c r="E27" i="3"/>
  <c r="H354" i="2" l="1"/>
  <c r="F354" i="2" s="1"/>
  <c r="H348" i="2"/>
  <c r="F348" i="2" s="1"/>
  <c r="H352" i="2"/>
  <c r="F352" i="2" s="1"/>
  <c r="H395" i="2"/>
  <c r="F395" i="2" s="1"/>
  <c r="H349" i="2"/>
  <c r="F349" i="2" s="1"/>
  <c r="H359" i="2"/>
  <c r="F359" i="2" s="1"/>
  <c r="F27" i="6"/>
  <c r="C26" i="9" s="1"/>
  <c r="H383" i="2"/>
  <c r="F383" i="2" s="1"/>
  <c r="M56" i="8"/>
  <c r="M57" i="8" s="1"/>
  <c r="M58" i="8" s="1"/>
  <c r="M59" i="8" s="1"/>
  <c r="M60" i="8" s="1"/>
  <c r="M61" i="8" s="1"/>
  <c r="M62" i="8" s="1"/>
  <c r="M63" i="8" s="1"/>
  <c r="M64" i="8" s="1"/>
  <c r="M65" i="8" s="1"/>
  <c r="M66" i="8" s="1"/>
  <c r="M67" i="8" s="1"/>
  <c r="M68" i="8" s="1"/>
  <c r="M69" i="8" s="1"/>
  <c r="M72" i="8" s="1"/>
  <c r="M73" i="8" s="1"/>
  <c r="M74" i="8" s="1"/>
  <c r="L70" i="8"/>
  <c r="L71" i="8" s="1"/>
  <c r="H393" i="2"/>
  <c r="F393" i="2" s="1"/>
  <c r="H357" i="2"/>
  <c r="F357" i="2" s="1"/>
  <c r="I23" i="11"/>
  <c r="L23" i="11"/>
  <c r="K23" i="11"/>
  <c r="J23" i="11"/>
  <c r="H355" i="2"/>
  <c r="F355" i="2" s="1"/>
  <c r="H351" i="2"/>
  <c r="F351" i="2" s="1"/>
  <c r="H360" i="2"/>
  <c r="F360" i="2" s="1"/>
  <c r="H356" i="2"/>
  <c r="F356" i="2" s="1"/>
  <c r="H353" i="2"/>
  <c r="F353" i="2" s="1"/>
  <c r="H350" i="2"/>
  <c r="F350" i="2" s="1"/>
  <c r="H369" i="2"/>
  <c r="F369" i="2" s="1"/>
  <c r="M8" i="11"/>
  <c r="W7" i="11"/>
  <c r="L70" i="4"/>
  <c r="L71" i="4" s="1"/>
  <c r="L72" i="4" s="1"/>
  <c r="L73" i="4" s="1"/>
  <c r="L74" i="4" s="1"/>
  <c r="L75" i="4" s="1"/>
  <c r="L76" i="4" s="1"/>
  <c r="L77" i="4" s="1"/>
  <c r="L78" i="4" s="1"/>
  <c r="L79" i="4" s="1"/>
  <c r="L80" i="4" s="1"/>
  <c r="L81" i="4" s="1"/>
  <c r="L82" i="4" s="1"/>
  <c r="L83" i="4" s="1"/>
  <c r="L84" i="4" s="1"/>
  <c r="L85" i="4" s="1"/>
  <c r="L86" i="4" s="1"/>
  <c r="L87" i="4" s="1"/>
  <c r="L88" i="4" s="1"/>
  <c r="L89" i="4" s="1"/>
  <c r="L90" i="4" s="1"/>
  <c r="L91" i="4" s="1"/>
  <c r="L92" i="4" s="1"/>
  <c r="L93" i="4" s="1"/>
  <c r="L94" i="4" s="1"/>
  <c r="L95" i="4" s="1"/>
  <c r="L96" i="4" s="1"/>
  <c r="L97" i="4" s="1"/>
  <c r="L98" i="4" s="1"/>
  <c r="L99" i="4" s="1"/>
  <c r="L100" i="4" s="1"/>
  <c r="L101" i="4" s="1"/>
  <c r="L102" i="4" s="1"/>
  <c r="L103" i="4" s="1"/>
  <c r="L104" i="4" s="1"/>
  <c r="L105" i="4" s="1"/>
  <c r="M67" i="4"/>
  <c r="M68" i="4" s="1"/>
  <c r="M69" i="4" s="1"/>
  <c r="H71" i="4"/>
  <c r="D28" i="9"/>
  <c r="D27" i="9"/>
  <c r="X34" i="6"/>
  <c r="H391" i="2"/>
  <c r="F391" i="2" s="1"/>
  <c r="H375" i="2"/>
  <c r="F375" i="2" s="1"/>
  <c r="H367" i="2"/>
  <c r="F367" i="2" s="1"/>
  <c r="H343" i="2"/>
  <c r="F343" i="2" s="1"/>
  <c r="H398" i="2"/>
  <c r="F398" i="2" s="1"/>
  <c r="H389" i="2"/>
  <c r="F389" i="2" s="1"/>
  <c r="H373" i="2"/>
  <c r="F373" i="2" s="1"/>
  <c r="J27" i="6" s="1"/>
  <c r="H399" i="2"/>
  <c r="F399" i="2" s="1"/>
  <c r="H390" i="2"/>
  <c r="F390" i="2" s="1"/>
  <c r="H382" i="2"/>
  <c r="F382" i="2" s="1"/>
  <c r="H374" i="2"/>
  <c r="F374" i="2" s="1"/>
  <c r="H366" i="2"/>
  <c r="F366" i="2" s="1"/>
  <c r="H342" i="2"/>
  <c r="F342" i="2" s="1"/>
  <c r="H381" i="2"/>
  <c r="F381" i="2" s="1"/>
  <c r="H365" i="2"/>
  <c r="F365" i="2" s="1"/>
  <c r="H397" i="2"/>
  <c r="F397" i="2" s="1"/>
  <c r="H380" i="2"/>
  <c r="F380" i="2" s="1"/>
  <c r="H372" i="2"/>
  <c r="F372" i="2" s="1"/>
  <c r="H387" i="2"/>
  <c r="F387" i="2" s="1"/>
  <c r="H379" i="2"/>
  <c r="F379" i="2" s="1"/>
  <c r="H371" i="2"/>
  <c r="F371" i="2" s="1"/>
  <c r="H363" i="2"/>
  <c r="F363" i="2" s="1"/>
  <c r="H347" i="2"/>
  <c r="F347" i="2" s="1"/>
  <c r="H361" i="2"/>
  <c r="F361" i="2" s="1"/>
  <c r="H345" i="2"/>
  <c r="F345" i="2" s="1"/>
  <c r="H394" i="2"/>
  <c r="F394" i="2" s="1"/>
  <c r="H386" i="2"/>
  <c r="F386" i="2" s="1"/>
  <c r="H378" i="2"/>
  <c r="F378" i="2" s="1"/>
  <c r="H370" i="2"/>
  <c r="F370" i="2" s="1"/>
  <c r="H362" i="2"/>
  <c r="F362" i="2" s="1"/>
  <c r="H346" i="2"/>
  <c r="F346" i="2" s="1"/>
  <c r="H385" i="2"/>
  <c r="F385" i="2" s="1"/>
  <c r="H377" i="2"/>
  <c r="F377" i="2" s="1"/>
  <c r="H392" i="2"/>
  <c r="F392" i="2" s="1"/>
  <c r="H376" i="2"/>
  <c r="F376" i="2" s="1"/>
  <c r="H368" i="2"/>
  <c r="F368" i="2" s="1"/>
  <c r="D29" i="9" s="1"/>
  <c r="H344" i="2"/>
  <c r="F344" i="2" s="1"/>
  <c r="H364" i="2"/>
  <c r="F364" i="2" s="1"/>
  <c r="W18" i="6"/>
  <c r="B15" i="8"/>
  <c r="B4" i="9"/>
  <c r="C4" i="9" s="1"/>
  <c r="D12" i="9"/>
  <c r="B5" i="9"/>
  <c r="C5" i="9" s="1"/>
  <c r="B9" i="9"/>
  <c r="C9" i="9" s="1"/>
  <c r="B10" i="9"/>
  <c r="C10" i="9" s="1"/>
  <c r="D7" i="9"/>
  <c r="D14" i="9"/>
  <c r="B6" i="9"/>
  <c r="C6" i="9" s="1"/>
  <c r="D5" i="9"/>
  <c r="B13" i="9"/>
  <c r="C13" i="9" s="1"/>
  <c r="D6" i="9"/>
  <c r="D10" i="9"/>
  <c r="D9" i="9"/>
  <c r="D4" i="9"/>
  <c r="B260" i="4"/>
  <c r="D22" i="9"/>
  <c r="I19" i="4"/>
  <c r="I94" i="4"/>
  <c r="I76" i="4"/>
  <c r="I29" i="4"/>
  <c r="I117" i="4"/>
  <c r="B7" i="9"/>
  <c r="C7" i="9" s="1"/>
  <c r="B12" i="9"/>
  <c r="C12" i="9" s="1"/>
  <c r="B14" i="9"/>
  <c r="C14" i="9" s="1"/>
  <c r="B11" i="9"/>
  <c r="C11" i="9" s="1"/>
  <c r="B8" i="9"/>
  <c r="C8" i="9" s="1"/>
  <c r="D8" i="9"/>
  <c r="D13" i="9"/>
  <c r="I167" i="4"/>
  <c r="I192" i="4"/>
  <c r="H182" i="4"/>
  <c r="I181" i="4" s="1"/>
  <c r="H141" i="4"/>
  <c r="I140" i="4" s="1"/>
  <c r="I199" i="4"/>
  <c r="H139" i="4"/>
  <c r="I138" i="4" s="1"/>
  <c r="H203" i="4"/>
  <c r="I202" i="4" s="1"/>
  <c r="I108" i="4"/>
  <c r="I35" i="4"/>
  <c r="I161" i="4"/>
  <c r="H219" i="4"/>
  <c r="I218" i="4" s="1"/>
  <c r="I208" i="4"/>
  <c r="H240" i="4"/>
  <c r="I239" i="4" s="1"/>
  <c r="H173" i="4"/>
  <c r="I172" i="4" s="1"/>
  <c r="H129" i="4"/>
  <c r="I128" i="4" s="1"/>
  <c r="I165" i="4"/>
  <c r="I152" i="4"/>
  <c r="H171" i="4"/>
  <c r="I170" i="4" s="1"/>
  <c r="I248" i="4"/>
  <c r="I163" i="4"/>
  <c r="H232" i="4"/>
  <c r="I231" i="4" s="1"/>
  <c r="I16" i="4"/>
  <c r="I54" i="4"/>
  <c r="H184" i="4"/>
  <c r="I183" i="4" s="1"/>
  <c r="I196" i="4"/>
  <c r="I56" i="4"/>
  <c r="I194" i="4"/>
  <c r="I179" i="4"/>
  <c r="I186" i="4"/>
  <c r="I229" i="4"/>
  <c r="I130" i="4"/>
  <c r="H149" i="4"/>
  <c r="I148" i="4" s="1"/>
  <c r="H253" i="4"/>
  <c r="I252" i="4" s="1"/>
  <c r="I189" i="4"/>
  <c r="I126" i="4"/>
  <c r="I157" i="4"/>
  <c r="I175" i="4"/>
  <c r="I143" i="4"/>
  <c r="H134" i="4"/>
  <c r="I133" i="4" s="1"/>
  <c r="I255" i="4"/>
  <c r="I121" i="4"/>
  <c r="I146" i="4"/>
  <c r="H112" i="4"/>
  <c r="I111" i="4" s="1"/>
  <c r="I87" i="4"/>
  <c r="I159" i="4"/>
  <c r="I25" i="4"/>
  <c r="I44" i="4"/>
  <c r="I45" i="4"/>
  <c r="I47" i="4"/>
  <c r="I46" i="4"/>
  <c r="I50" i="4"/>
  <c r="I48" i="4"/>
  <c r="I49" i="4"/>
  <c r="E23" i="6"/>
  <c r="L23" i="6"/>
  <c r="K23" i="6"/>
  <c r="J23" i="6"/>
  <c r="G23" i="6"/>
  <c r="F23" i="6"/>
  <c r="I23" i="6"/>
  <c r="H23" i="6"/>
  <c r="M70" i="8" l="1"/>
  <c r="M71" i="8" s="1"/>
  <c r="W8" i="11"/>
  <c r="M9" i="11"/>
  <c r="L106" i="4"/>
  <c r="L107" i="4" s="1"/>
  <c r="L108" i="4" s="1"/>
  <c r="L109" i="4" s="1"/>
  <c r="L110" i="4" s="1"/>
  <c r="L111" i="4" s="1"/>
  <c r="L112" i="4" s="1"/>
  <c r="L113" i="4" s="1"/>
  <c r="L114" i="4" s="1"/>
  <c r="L115" i="4" s="1"/>
  <c r="L116" i="4" s="1"/>
  <c r="L117" i="4" s="1"/>
  <c r="L118" i="4" s="1"/>
  <c r="L119" i="4" s="1"/>
  <c r="L120" i="4" s="1"/>
  <c r="L121" i="4" s="1"/>
  <c r="L122" i="4" s="1"/>
  <c r="L123" i="4" s="1"/>
  <c r="L124" i="4" s="1"/>
  <c r="L125" i="4" s="1"/>
  <c r="M70" i="4"/>
  <c r="M71" i="4" s="1"/>
  <c r="M72" i="4" s="1"/>
  <c r="M73" i="4" s="1"/>
  <c r="M74" i="4" s="1"/>
  <c r="M75" i="4" s="1"/>
  <c r="M76" i="4" s="1"/>
  <c r="M77" i="4" s="1"/>
  <c r="M78" i="4" s="1"/>
  <c r="M79" i="4" s="1"/>
  <c r="M80" i="4" s="1"/>
  <c r="M81" i="4" s="1"/>
  <c r="M82" i="4" s="1"/>
  <c r="M83" i="4" s="1"/>
  <c r="M84" i="4" s="1"/>
  <c r="M85" i="4" s="1"/>
  <c r="M86" i="4" s="1"/>
  <c r="M87" i="4" s="1"/>
  <c r="M88" i="4" s="1"/>
  <c r="M89" i="4" s="1"/>
  <c r="M90" i="4" s="1"/>
  <c r="M91" i="4" s="1"/>
  <c r="M92" i="4" s="1"/>
  <c r="M93" i="4" s="1"/>
  <c r="M94" i="4" s="1"/>
  <c r="M95" i="4" s="1"/>
  <c r="M96" i="4" s="1"/>
  <c r="M97" i="4" s="1"/>
  <c r="M98" i="4" s="1"/>
  <c r="M99" i="4" s="1"/>
  <c r="M100" i="4" s="1"/>
  <c r="M101" i="4" s="1"/>
  <c r="M102" i="4" s="1"/>
  <c r="M103" i="4" s="1"/>
  <c r="M104" i="4" s="1"/>
  <c r="M105" i="4" s="1"/>
  <c r="D26" i="9"/>
  <c r="I118" i="4"/>
  <c r="I77" i="4"/>
  <c r="I30" i="4"/>
  <c r="I20" i="4"/>
  <c r="I95" i="4"/>
  <c r="H14" i="1"/>
  <c r="W9" i="11" l="1"/>
  <c r="M10" i="11"/>
  <c r="L126" i="4"/>
  <c r="L127" i="4" s="1"/>
  <c r="L128" i="4" s="1"/>
  <c r="L129" i="4" s="1"/>
  <c r="L130" i="4" s="1"/>
  <c r="L131" i="4" s="1"/>
  <c r="L132" i="4" s="1"/>
  <c r="L133" i="4" s="1"/>
  <c r="L134" i="4" s="1"/>
  <c r="L135" i="4" s="1"/>
  <c r="L136" i="4" s="1"/>
  <c r="L137" i="4" s="1"/>
  <c r="L138" i="4" s="1"/>
  <c r="L139" i="4" s="1"/>
  <c r="L140" i="4" s="1"/>
  <c r="L141" i="4" s="1"/>
  <c r="L142" i="4" s="1"/>
  <c r="L143" i="4" s="1"/>
  <c r="L144" i="4" s="1"/>
  <c r="L145" i="4" s="1"/>
  <c r="L146" i="4" s="1"/>
  <c r="L147" i="4" s="1"/>
  <c r="L148" i="4" s="1"/>
  <c r="L149" i="4" s="1"/>
  <c r="L150" i="4" s="1"/>
  <c r="L151" i="4" s="1"/>
  <c r="L152" i="4" s="1"/>
  <c r="L153" i="4" s="1"/>
  <c r="L154" i="4" s="1"/>
  <c r="L155" i="4" s="1"/>
  <c r="L156" i="4" s="1"/>
  <c r="L157" i="4" s="1"/>
  <c r="L158" i="4" s="1"/>
  <c r="L159" i="4" s="1"/>
  <c r="L160" i="4" s="1"/>
  <c r="L161" i="4" s="1"/>
  <c r="L162" i="4" s="1"/>
  <c r="L163" i="4" s="1"/>
  <c r="L164" i="4" s="1"/>
  <c r="L165" i="4" s="1"/>
  <c r="L166" i="4" s="1"/>
  <c r="L167" i="4" s="1"/>
  <c r="L168" i="4" s="1"/>
  <c r="L169" i="4" s="1"/>
  <c r="L170" i="4" s="1"/>
  <c r="L171" i="4" s="1"/>
  <c r="L172" i="4" s="1"/>
  <c r="L173" i="4" s="1"/>
  <c r="L174" i="4" s="1"/>
  <c r="L175" i="4" s="1"/>
  <c r="L176" i="4" s="1"/>
  <c r="L177" i="4" s="1"/>
  <c r="L178" i="4" s="1"/>
  <c r="L179" i="4" s="1"/>
  <c r="L180" i="4" s="1"/>
  <c r="L181" i="4" s="1"/>
  <c r="L182" i="4" s="1"/>
  <c r="L183" i="4" s="1"/>
  <c r="L184" i="4" s="1"/>
  <c r="L185" i="4" s="1"/>
  <c r="L186" i="4" s="1"/>
  <c r="L187" i="4" s="1"/>
  <c r="L188" i="4" s="1"/>
  <c r="L189" i="4" s="1"/>
  <c r="L190" i="4" s="1"/>
  <c r="L191" i="4" s="1"/>
  <c r="L192" i="4" s="1"/>
  <c r="L193" i="4" s="1"/>
  <c r="L194" i="4" s="1"/>
  <c r="L195" i="4" s="1"/>
  <c r="L196" i="4" s="1"/>
  <c r="L197" i="4" s="1"/>
  <c r="L198" i="4" s="1"/>
  <c r="L199" i="4" s="1"/>
  <c r="L200" i="4" s="1"/>
  <c r="L201" i="4" s="1"/>
  <c r="L202" i="4" s="1"/>
  <c r="L203" i="4" s="1"/>
  <c r="L204" i="4" s="1"/>
  <c r="L205" i="4" s="1"/>
  <c r="L206" i="4" s="1"/>
  <c r="L207" i="4" s="1"/>
  <c r="L208" i="4" s="1"/>
  <c r="L209" i="4" s="1"/>
  <c r="L210" i="4" s="1"/>
  <c r="L211" i="4" s="1"/>
  <c r="L212" i="4" s="1"/>
  <c r="L213" i="4" s="1"/>
  <c r="L214" i="4" s="1"/>
  <c r="L215" i="4" s="1"/>
  <c r="L216" i="4" s="1"/>
  <c r="L217" i="4" s="1"/>
  <c r="L218" i="4" s="1"/>
  <c r="L219" i="4" s="1"/>
  <c r="L220" i="4" s="1"/>
  <c r="L221" i="4" s="1"/>
  <c r="L222" i="4" s="1"/>
  <c r="L223" i="4" s="1"/>
  <c r="L224" i="4" s="1"/>
  <c r="L225" i="4" s="1"/>
  <c r="L226" i="4" s="1"/>
  <c r="L227" i="4" s="1"/>
  <c r="L228" i="4" s="1"/>
  <c r="L229" i="4" s="1"/>
  <c r="L230" i="4" s="1"/>
  <c r="L231" i="4" s="1"/>
  <c r="L232" i="4" s="1"/>
  <c r="L233" i="4" s="1"/>
  <c r="L234" i="4" s="1"/>
  <c r="L235" i="4" s="1"/>
  <c r="L236" i="4" s="1"/>
  <c r="L237" i="4" s="1"/>
  <c r="L238" i="4" s="1"/>
  <c r="L239" i="4" s="1"/>
  <c r="L240" i="4" s="1"/>
  <c r="L241" i="4" s="1"/>
  <c r="L242" i="4" s="1"/>
  <c r="L243" i="4" s="1"/>
  <c r="L244" i="4" s="1"/>
  <c r="L245" i="4" s="1"/>
  <c r="L246" i="4" s="1"/>
  <c r="L247" i="4" s="1"/>
  <c r="L248" i="4" s="1"/>
  <c r="L249" i="4" s="1"/>
  <c r="L250" i="4" s="1"/>
  <c r="L251" i="4" s="1"/>
  <c r="M106" i="4"/>
  <c r="M107" i="4" s="1"/>
  <c r="M108" i="4" s="1"/>
  <c r="M109" i="4" s="1"/>
  <c r="M110" i="4" s="1"/>
  <c r="M111" i="4" s="1"/>
  <c r="M112" i="4" s="1"/>
  <c r="M113" i="4" s="1"/>
  <c r="M114" i="4" s="1"/>
  <c r="M115" i="4" s="1"/>
  <c r="M116" i="4" s="1"/>
  <c r="M117" i="4" s="1"/>
  <c r="M118" i="4" s="1"/>
  <c r="M119" i="4" s="1"/>
  <c r="M120" i="4" s="1"/>
  <c r="M121" i="4" s="1"/>
  <c r="M122" i="4" s="1"/>
  <c r="M123" i="4" s="1"/>
  <c r="M124" i="4" s="1"/>
  <c r="M125" i="4" s="1"/>
  <c r="I31" i="4"/>
  <c r="I21" i="4"/>
  <c r="I119" i="4"/>
  <c r="I78" i="4"/>
  <c r="I96" i="4"/>
  <c r="H17" i="8"/>
  <c r="A1" i="9" s="1"/>
  <c r="B16" i="1"/>
  <c r="H16" i="1" s="1"/>
  <c r="O3" i="6" s="1"/>
  <c r="N21" i="6"/>
  <c r="E21" i="9" s="1"/>
  <c r="W10" i="11" l="1"/>
  <c r="M11" i="11"/>
  <c r="L252" i="4"/>
  <c r="L253" i="4" s="1"/>
  <c r="L254" i="4" s="1"/>
  <c r="L255" i="4" s="1"/>
  <c r="L256" i="4" s="1"/>
  <c r="L257" i="4" s="1"/>
  <c r="B17" i="9" s="1"/>
  <c r="M126" i="4"/>
  <c r="M127" i="4" s="1"/>
  <c r="M128" i="4" s="1"/>
  <c r="M129" i="4" s="1"/>
  <c r="M130" i="4" s="1"/>
  <c r="M131" i="4" s="1"/>
  <c r="M132" i="4" s="1"/>
  <c r="M133" i="4" s="1"/>
  <c r="M134" i="4" s="1"/>
  <c r="M135" i="4" s="1"/>
  <c r="M136" i="4" s="1"/>
  <c r="M137" i="4" s="1"/>
  <c r="M138" i="4" s="1"/>
  <c r="M139" i="4" s="1"/>
  <c r="M140" i="4" s="1"/>
  <c r="M141" i="4" s="1"/>
  <c r="M142" i="4" s="1"/>
  <c r="M143" i="4" s="1"/>
  <c r="M144" i="4" s="1"/>
  <c r="M145" i="4" s="1"/>
  <c r="M146" i="4" s="1"/>
  <c r="M147" i="4" s="1"/>
  <c r="M148" i="4" s="1"/>
  <c r="M149" i="4" s="1"/>
  <c r="M150" i="4" s="1"/>
  <c r="M151" i="4" s="1"/>
  <c r="M152" i="4" s="1"/>
  <c r="M153" i="4" s="1"/>
  <c r="M154" i="4" s="1"/>
  <c r="M155" i="4" s="1"/>
  <c r="M156" i="4" s="1"/>
  <c r="M157" i="4" s="1"/>
  <c r="M158" i="4" s="1"/>
  <c r="M159" i="4" s="1"/>
  <c r="M160" i="4" s="1"/>
  <c r="M161" i="4" s="1"/>
  <c r="M162" i="4" s="1"/>
  <c r="M163" i="4" s="1"/>
  <c r="M164" i="4" s="1"/>
  <c r="M165" i="4" s="1"/>
  <c r="M166" i="4" s="1"/>
  <c r="M167" i="4" s="1"/>
  <c r="M168" i="4" s="1"/>
  <c r="M169" i="4" s="1"/>
  <c r="M170" i="4" s="1"/>
  <c r="M171" i="4" s="1"/>
  <c r="M172" i="4" s="1"/>
  <c r="M173" i="4" s="1"/>
  <c r="M174" i="4" s="1"/>
  <c r="M175" i="4" s="1"/>
  <c r="M176" i="4" s="1"/>
  <c r="M177" i="4" s="1"/>
  <c r="M178" i="4" s="1"/>
  <c r="M179" i="4" s="1"/>
  <c r="M180" i="4" s="1"/>
  <c r="M181" i="4" s="1"/>
  <c r="M182" i="4" s="1"/>
  <c r="M183" i="4" s="1"/>
  <c r="M184" i="4" s="1"/>
  <c r="M185" i="4" s="1"/>
  <c r="M186" i="4" s="1"/>
  <c r="M187" i="4" s="1"/>
  <c r="M188" i="4" s="1"/>
  <c r="M189" i="4" s="1"/>
  <c r="M190" i="4" s="1"/>
  <c r="M191" i="4" s="1"/>
  <c r="M192" i="4" s="1"/>
  <c r="M193" i="4" s="1"/>
  <c r="M194" i="4" s="1"/>
  <c r="M195" i="4" s="1"/>
  <c r="M196" i="4" s="1"/>
  <c r="M197" i="4" s="1"/>
  <c r="M198" i="4" s="1"/>
  <c r="M199" i="4" s="1"/>
  <c r="M200" i="4" s="1"/>
  <c r="M201" i="4" s="1"/>
  <c r="M202" i="4" s="1"/>
  <c r="M203" i="4" s="1"/>
  <c r="M204" i="4" s="1"/>
  <c r="M205" i="4" s="1"/>
  <c r="M206" i="4" s="1"/>
  <c r="M207" i="4" s="1"/>
  <c r="M208" i="4" s="1"/>
  <c r="M209" i="4" s="1"/>
  <c r="M210" i="4" s="1"/>
  <c r="M211" i="4" s="1"/>
  <c r="M212" i="4" s="1"/>
  <c r="M213" i="4" s="1"/>
  <c r="M214" i="4" s="1"/>
  <c r="M215" i="4" s="1"/>
  <c r="M216" i="4" s="1"/>
  <c r="M217" i="4" s="1"/>
  <c r="M218" i="4" s="1"/>
  <c r="M219" i="4" s="1"/>
  <c r="M220" i="4" s="1"/>
  <c r="M221" i="4" s="1"/>
  <c r="M222" i="4" s="1"/>
  <c r="M223" i="4" s="1"/>
  <c r="M224" i="4" s="1"/>
  <c r="M225" i="4" s="1"/>
  <c r="M226" i="4" s="1"/>
  <c r="M227" i="4" s="1"/>
  <c r="M228" i="4" s="1"/>
  <c r="M229" i="4" s="1"/>
  <c r="M230" i="4" s="1"/>
  <c r="M231" i="4" s="1"/>
  <c r="M232" i="4" s="1"/>
  <c r="M233" i="4" s="1"/>
  <c r="M234" i="4" s="1"/>
  <c r="M235" i="4" s="1"/>
  <c r="M236" i="4" s="1"/>
  <c r="M237" i="4" s="1"/>
  <c r="M238" i="4" s="1"/>
  <c r="M239" i="4" s="1"/>
  <c r="M240" i="4" s="1"/>
  <c r="M241" i="4" s="1"/>
  <c r="M242" i="4" s="1"/>
  <c r="M243" i="4" s="1"/>
  <c r="M244" i="4" s="1"/>
  <c r="M245" i="4" s="1"/>
  <c r="M246" i="4" s="1"/>
  <c r="M247" i="4" s="1"/>
  <c r="M248" i="4" s="1"/>
  <c r="M249" i="4" s="1"/>
  <c r="M250" i="4" s="1"/>
  <c r="M251" i="4" s="1"/>
  <c r="I79" i="4"/>
  <c r="I120" i="4"/>
  <c r="I22" i="4"/>
  <c r="I97" i="4"/>
  <c r="I32" i="4"/>
  <c r="C20" i="9"/>
  <c r="N18" i="6"/>
  <c r="E20" i="9" s="1"/>
  <c r="M12" i="11" l="1"/>
  <c r="W11" i="11"/>
  <c r="M252" i="4"/>
  <c r="M253" i="4" s="1"/>
  <c r="M254" i="4" s="1"/>
  <c r="M255" i="4" s="1"/>
  <c r="M256" i="4" s="1"/>
  <c r="M257" i="4" s="1"/>
  <c r="C17" i="6" s="1"/>
  <c r="I33" i="4"/>
  <c r="I98" i="4"/>
  <c r="I23" i="4"/>
  <c r="I80" i="4"/>
  <c r="M13" i="11" l="1"/>
  <c r="W12" i="11"/>
  <c r="I24" i="4"/>
  <c r="I99" i="4"/>
  <c r="I81" i="4"/>
  <c r="I34" i="4"/>
  <c r="W13" i="11" l="1"/>
  <c r="N21" i="11"/>
  <c r="M14" i="11"/>
  <c r="N18" i="11"/>
  <c r="I82" i="4"/>
  <c r="I100" i="4"/>
  <c r="W14" i="11" l="1"/>
  <c r="I83" i="4"/>
  <c r="I84" i="4" l="1"/>
  <c r="I85" i="4" l="1"/>
</calcChain>
</file>

<file path=xl/comments1.xml><?xml version="1.0" encoding="utf-8"?>
<comments xmlns="http://schemas.openxmlformats.org/spreadsheetml/2006/main">
  <authors>
    <author>Michael L. Jaegers</author>
  </authors>
  <commentList>
    <comment ref="A12" authorId="0" shapeId="0">
      <text>
        <r>
          <rPr>
            <b/>
            <sz val="8"/>
            <color indexed="81"/>
            <rFont val="Segoe UI"/>
            <family val="2"/>
          </rPr>
          <t>Schritt sechs, siehe Seite 54 im Grundregelwerk</t>
        </r>
      </text>
    </comment>
  </commentList>
</comments>
</file>

<file path=xl/sharedStrings.xml><?xml version="1.0" encoding="utf-8"?>
<sst xmlns="http://schemas.openxmlformats.org/spreadsheetml/2006/main" count="1983" uniqueCount="942">
  <si>
    <t>Königsmund</t>
  </si>
  <si>
    <t>Drachenstein</t>
  </si>
  <si>
    <t>Der Norden</t>
  </si>
  <si>
    <t>Die Eiseninseln</t>
  </si>
  <si>
    <t>Die Flusslande</t>
  </si>
  <si>
    <t>Die Mondberge</t>
  </si>
  <si>
    <t>Die Westlande</t>
  </si>
  <si>
    <t>Die Weite</t>
  </si>
  <si>
    <t>Die Sturmlande</t>
  </si>
  <si>
    <t>Dorne</t>
  </si>
  <si>
    <t>3W6</t>
  </si>
  <si>
    <t>Startreich</t>
  </si>
  <si>
    <t>Lehensherr</t>
  </si>
  <si>
    <t>Robert Baratheon, König der Sieben Königslande</t>
  </si>
  <si>
    <t>Stannis Baratheon, Lord von Drachenstein</t>
  </si>
  <si>
    <t>Eddard Stark, Lord von Winterfell, Wächter des Nordens</t>
  </si>
  <si>
    <t>Balon Gaufreud, Lord Schnitter von Peik</t>
  </si>
  <si>
    <t>Hoster Tully, Lord von Schnellwasser</t>
  </si>
  <si>
    <t>Jon Arryn, Lord über Hohenehr, Hand des Königs, Wächter des Ostens</t>
  </si>
  <si>
    <t>Tywin Lennister, Lord von Casterlystein, Wächter des Westens</t>
  </si>
  <si>
    <t>Maes Tyrell, Lord von Rosengarten, Wächter des Südens</t>
  </si>
  <si>
    <t>Renly Baratheon, Lord von Sturmkapp</t>
  </si>
  <si>
    <t>Doran Nymeros Martell, Lord von Sonnspeer</t>
  </si>
  <si>
    <t>Fähigkeiten</t>
  </si>
  <si>
    <t>Athletik</t>
  </si>
  <si>
    <t>Ausdauer</t>
  </si>
  <si>
    <t>Gewandtheit</t>
  </si>
  <si>
    <t>Kampf</t>
  </si>
  <si>
    <t>Status</t>
  </si>
  <si>
    <t>Verstohlenheit</t>
  </si>
  <si>
    <t>Spielername</t>
  </si>
  <si>
    <t>Reich</t>
  </si>
  <si>
    <t>Wahl</t>
  </si>
  <si>
    <t>Zufall</t>
  </si>
  <si>
    <t>Alter</t>
  </si>
  <si>
    <t>Jung</t>
  </si>
  <si>
    <t>Heranwachsend</t>
  </si>
  <si>
    <t>Jugendlich</t>
  </si>
  <si>
    <t>Erwachsen</t>
  </si>
  <si>
    <t>Mittleren Alters</t>
  </si>
  <si>
    <t>Alt</t>
  </si>
  <si>
    <t>Sehr Alt</t>
  </si>
  <si>
    <t>Greis</t>
  </si>
  <si>
    <t>2W6</t>
  </si>
  <si>
    <t>Bediensteter, einfacher Heckenritter, freier Mann</t>
  </si>
  <si>
    <t>Gefolgsmann, Wächter, Knappe</t>
  </si>
  <si>
    <t>Hochrangiges Mitglied des Hauses, Maester, jüngerer Septon, Ritter mit Grundbesitz, adliger Bastard</t>
  </si>
  <si>
    <t>Vasall, Mündel, Höfling, Septon, Berater</t>
  </si>
  <si>
    <t>Lord des Hauses, Erbe, Lady, Nachwuchs</t>
  </si>
  <si>
    <t>Bediensteter</t>
  </si>
  <si>
    <t>einfacher Heckenritter</t>
  </si>
  <si>
    <t>freier Mann</t>
  </si>
  <si>
    <t>Gefolgsmann</t>
  </si>
  <si>
    <t>Knappe</t>
  </si>
  <si>
    <t>Wächter</t>
  </si>
  <si>
    <t>Hochrangiges Mitglied des Hauses</t>
  </si>
  <si>
    <t>Maester</t>
  </si>
  <si>
    <t>jüngerer Septon</t>
  </si>
  <si>
    <t>Ritte mit Grundbesitz</t>
  </si>
  <si>
    <t>adliger Bastard</t>
  </si>
  <si>
    <t>Vasall</t>
  </si>
  <si>
    <t>Mündel</t>
  </si>
  <si>
    <t>Höfling</t>
  </si>
  <si>
    <t>Septon</t>
  </si>
  <si>
    <t>Berater</t>
  </si>
  <si>
    <t>Lord des Hauses</t>
  </si>
  <si>
    <t>Erbe</t>
  </si>
  <si>
    <t>Lady</t>
  </si>
  <si>
    <t>Nachwuchs</t>
  </si>
  <si>
    <t>Rolle</t>
  </si>
  <si>
    <t>Anführer</t>
  </si>
  <si>
    <t>Ausdauer, Kampf, Kriegsführung, Scharfsinn, Status, Überredung</t>
  </si>
  <si>
    <t>Experte</t>
  </si>
  <si>
    <t>Intrigant</t>
  </si>
  <si>
    <t>Scharfsinn, Sprache, Status, Täuschung, Überredung, Wahrnehmung, Wille, Wissen</t>
  </si>
  <si>
    <t>Kämpfer</t>
  </si>
  <si>
    <t>Athletik, Ausdauer, Gewandtheit, Kampf, Kriegsführung, Schießkunst, Umgang mit Tieren</t>
  </si>
  <si>
    <t>Schuft</t>
  </si>
  <si>
    <t>Diebeskunst, Gewandtheit, Kampf, Scharfsinn, Schießkunst, Überredung, Verstohlenheit, Wahrnehmung</t>
  </si>
  <si>
    <t>Hintergrundereignisse</t>
  </si>
  <si>
    <t>Du hattest eine glühende Liebesaffäre.</t>
  </si>
  <si>
    <t>Du hast in einer Schlacht gekämpft oder wurdest hineingezogen.</t>
  </si>
  <si>
    <t>Du hast einem anderen Haus gedient (Knappe, Gefolgsmann).</t>
  </si>
  <si>
    <t>Du wurdest entführt und bist geflohen, wurdest freigekauft oder gerettet.</t>
  </si>
  <si>
    <t>Du bist einmal über die Meerenge gesegelt.</t>
  </si>
  <si>
    <t>Du hast eine bedeutsame Tat vollbracht, vielleicht das Leben deines Lords gerettet, einen riesigen Eber erlegt und so weiter.</t>
  </si>
  <si>
    <t>Du hast mit einer berühmten Person verkehrt.</t>
  </si>
  <si>
    <t>Du warst bei eine bedeutsamen Turnier anwesend (als Teilnehmer oder Zuschauer).</t>
  </si>
  <si>
    <t>Du warst in einen niederträchtigen Skandal verwickelt.</t>
  </si>
  <si>
    <t>Du wurdest fälschlicherweise einer Missetat bezichtigt.</t>
  </si>
  <si>
    <t>Du wurdest als Mündel oder Geisel von einem anderen Haus gefangen gehalten.</t>
  </si>
  <si>
    <t>Ziele</t>
  </si>
  <si>
    <t>Erleuchtung</t>
  </si>
  <si>
    <t>Können, Meisterschaft in einer Fähigkeit</t>
  </si>
  <si>
    <t>Ruhm</t>
  </si>
  <si>
    <t>Wissen</t>
  </si>
  <si>
    <t>Liebe</t>
  </si>
  <si>
    <t>Macht</t>
  </si>
  <si>
    <t>Sicherheit</t>
  </si>
  <si>
    <t>Rache</t>
  </si>
  <si>
    <t>Wohlstand</t>
  </si>
  <si>
    <t>Gerechtigkeit</t>
  </si>
  <si>
    <t>Allgemeinwohl</t>
  </si>
  <si>
    <t>Motivationen</t>
  </si>
  <si>
    <t>Tugenden</t>
  </si>
  <si>
    <t>Laster</t>
  </si>
  <si>
    <t>Mildtätigkeit</t>
  </si>
  <si>
    <t>Pflicht</t>
  </si>
  <si>
    <t>Angst</t>
  </si>
  <si>
    <t>Gier</t>
  </si>
  <si>
    <t>Hass</t>
  </si>
  <si>
    <t>Lust</t>
  </si>
  <si>
    <t>Frieden</t>
  </si>
  <si>
    <t>Stabilität</t>
  </si>
  <si>
    <t>Überlegenheit</t>
  </si>
  <si>
    <t>Wahnsinn</t>
  </si>
  <si>
    <t>Wohltätigkeit</t>
  </si>
  <si>
    <t>Keusch</t>
  </si>
  <si>
    <t>Mutig</t>
  </si>
  <si>
    <t>Hingebungsvoll</t>
  </si>
  <si>
    <t>Ehrlich</t>
  </si>
  <si>
    <t>Bescheiden</t>
  </si>
  <si>
    <t>Gerecht</t>
  </si>
  <si>
    <t>Großzügig</t>
  </si>
  <si>
    <t>Gnädig</t>
  </si>
  <si>
    <t>Fromm</t>
  </si>
  <si>
    <t>Weise</t>
  </si>
  <si>
    <t>Ehrgeizig</t>
  </si>
  <si>
    <t>Arrogant</t>
  </si>
  <si>
    <t>Habgierig</t>
  </si>
  <si>
    <t>Feige</t>
  </si>
  <si>
    <t>Grausam</t>
  </si>
  <si>
    <t>Töricht</t>
  </si>
  <si>
    <t>Unzüchtig</t>
  </si>
  <si>
    <t>Kleinlich</t>
  </si>
  <si>
    <t>Voreingenommen</t>
  </si>
  <si>
    <t>Hinterhältig</t>
  </si>
  <si>
    <t>Zornig</t>
  </si>
  <si>
    <t>Ziel</t>
  </si>
  <si>
    <t>Motivation</t>
  </si>
  <si>
    <t>Tugend</t>
  </si>
  <si>
    <t>Kernfähigkeiten</t>
  </si>
  <si>
    <t>Fachwissen</t>
  </si>
  <si>
    <t>Anleitung:</t>
  </si>
  <si>
    <t>Direkteingabespalte</t>
  </si>
  <si>
    <t>Ergebnisspalte</t>
  </si>
  <si>
    <t>Würfeleingabespalte</t>
  </si>
  <si>
    <t>Eingabefeld</t>
  </si>
  <si>
    <t>Ausgabefeld</t>
  </si>
  <si>
    <t>Regel</t>
  </si>
  <si>
    <t>Gruppe</t>
  </si>
  <si>
    <t>Fähigkeitserfahrung</t>
  </si>
  <si>
    <t>maximaler Anfangsrang (außer Status)</t>
  </si>
  <si>
    <t>Fähigkeitserfahrung nach Alter</t>
  </si>
  <si>
    <t>maximal eine Fähigkeit darf auf Rang 1 reduziert werden für einen Bonus von 50 Erfahrungspunkten</t>
  </si>
  <si>
    <t>Erfahrungskosten</t>
  </si>
  <si>
    <t>Sprache</t>
  </si>
  <si>
    <t>Fähigkeitsrang</t>
  </si>
  <si>
    <t>mangelnd</t>
  </si>
  <si>
    <t>unzulängich</t>
  </si>
  <si>
    <t>durchschnittlich</t>
  </si>
  <si>
    <t>talentiert</t>
  </si>
  <si>
    <t>geübt</t>
  </si>
  <si>
    <t>versiert</t>
  </si>
  <si>
    <t>meisterhaft</t>
  </si>
  <si>
    <t>makellos</t>
  </si>
  <si>
    <t>mythisch</t>
  </si>
  <si>
    <t>Spezialisierung</t>
  </si>
  <si>
    <t>Diebeskunst</t>
  </si>
  <si>
    <t>Heilkunst</t>
  </si>
  <si>
    <t>Kriegsführung</t>
  </si>
  <si>
    <t>Scharfsinn</t>
  </si>
  <si>
    <t>Schiesskunst</t>
  </si>
  <si>
    <t>Täuschung</t>
  </si>
  <si>
    <t>Überleben</t>
  </si>
  <si>
    <t>Überredung</t>
  </si>
  <si>
    <t>Umgang mit Tieren</t>
  </si>
  <si>
    <t>Wahrnehmung</t>
  </si>
  <si>
    <t>Wille</t>
  </si>
  <si>
    <t>Fähigkeit</t>
  </si>
  <si>
    <t>Spezialisierungen</t>
  </si>
  <si>
    <t>Klettern</t>
  </si>
  <si>
    <t>Rennen</t>
  </si>
  <si>
    <t>Schwimmen</t>
  </si>
  <si>
    <t>Springen</t>
  </si>
  <si>
    <t>Stärke</t>
  </si>
  <si>
    <t>Werfen</t>
  </si>
  <si>
    <t>Kondition</t>
  </si>
  <si>
    <t>Fingerfertigkeit</t>
  </si>
  <si>
    <t>Schlossknacken</t>
  </si>
  <si>
    <t>Stehlen</t>
  </si>
  <si>
    <t>Akrobatik</t>
  </si>
  <si>
    <t>Ausweichen</t>
  </si>
  <si>
    <t>Gleichgewicht</t>
  </si>
  <si>
    <t>Schnelligkeit</t>
  </si>
  <si>
    <t>Verrenkung</t>
  </si>
  <si>
    <t>Diagnose</t>
  </si>
  <si>
    <t>Leiden behandeln</t>
  </si>
  <si>
    <t>Verletzung behandeln</t>
  </si>
  <si>
    <t>Äxte</t>
  </si>
  <si>
    <t>Fechten</t>
  </si>
  <si>
    <t>Kurzklingen</t>
  </si>
  <si>
    <t>Langklingen</t>
  </si>
  <si>
    <t>Prügeln</t>
  </si>
  <si>
    <t>Schilde</t>
  </si>
  <si>
    <t>Schlagwaffen</t>
  </si>
  <si>
    <t>Speere</t>
  </si>
  <si>
    <t>Befehligen</t>
  </si>
  <si>
    <t>Strategie</t>
  </si>
  <si>
    <t>Taktik</t>
  </si>
  <si>
    <t>Erinnerung</t>
  </si>
  <si>
    <t>Logik</t>
  </si>
  <si>
    <t>Entschlüsseln</t>
  </si>
  <si>
    <t>Armbrüste</t>
  </si>
  <si>
    <t>Belagerung</t>
  </si>
  <si>
    <t>Bögen</t>
  </si>
  <si>
    <t>Wurfwaffen</t>
  </si>
  <si>
    <t>Ansehen</t>
  </si>
  <si>
    <t>Erziehung</t>
  </si>
  <si>
    <t>Turniere</t>
  </si>
  <si>
    <t>Verwaltung</t>
  </si>
  <si>
    <t>Betrügen</t>
  </si>
  <si>
    <t>Bluffen</t>
  </si>
  <si>
    <t>Schauspielern</t>
  </si>
  <si>
    <t>Verkleiden</t>
  </si>
  <si>
    <t>Jagen</t>
  </si>
  <si>
    <t>Nahrungssuche</t>
  </si>
  <si>
    <t>Orientierung</t>
  </si>
  <si>
    <t>Verfolgen</t>
  </si>
  <si>
    <t>Aufstacheln</t>
  </si>
  <si>
    <t>Einschüchtern</t>
  </si>
  <si>
    <t>Feilschen</t>
  </si>
  <si>
    <t>Schmeicheln</t>
  </si>
  <si>
    <t>Überzeugen</t>
  </si>
  <si>
    <t>Verführen</t>
  </si>
  <si>
    <t>Verspotten</t>
  </si>
  <si>
    <t>Abrichten</t>
  </si>
  <si>
    <t>Beruhigen</t>
  </si>
  <si>
    <t>Lenken</t>
  </si>
  <si>
    <t>Reiten</t>
  </si>
  <si>
    <t>Schleichen</t>
  </si>
  <si>
    <t>Untertauchen</t>
  </si>
  <si>
    <t>Aufmerksamkeit</t>
  </si>
  <si>
    <t>Empathie</t>
  </si>
  <si>
    <t>Hingabe</t>
  </si>
  <si>
    <t>Koordinierung</t>
  </si>
  <si>
    <t>Mut</t>
  </si>
  <si>
    <t>Bildung</t>
  </si>
  <si>
    <t>Gassenwissen</t>
  </si>
  <si>
    <t>Recherche</t>
  </si>
  <si>
    <t>Bonus durch Reduktion</t>
  </si>
  <si>
    <t>Summe Fähigkeits-erfahrungspunkte</t>
  </si>
  <si>
    <t>Grundwert</t>
  </si>
  <si>
    <t>Erhöhung</t>
  </si>
  <si>
    <t>Kosten</t>
  </si>
  <si>
    <t>neuer Wert</t>
  </si>
  <si>
    <t>Spezialisierungserfahrung</t>
  </si>
  <si>
    <t>Spezialisierungserfahrung nach Alter</t>
  </si>
  <si>
    <t>bereits aufgewandte Punkte für Spezialisierungen</t>
  </si>
  <si>
    <t>bereits aufgewandte Punkte für Fähigkeiten</t>
  </si>
  <si>
    <t>noch verfügbare Punkte für Fähigkeiten</t>
  </si>
  <si>
    <t>Schicksalspunkte</t>
  </si>
  <si>
    <t>maximale Vorteile</t>
  </si>
  <si>
    <t>Makel</t>
  </si>
  <si>
    <t>Athletik, Ausdauer, Gewandtheit</t>
  </si>
  <si>
    <t>Makel Kür</t>
  </si>
  <si>
    <t>Makel Pflicht</t>
  </si>
  <si>
    <t>Athletik, Ausdauer, Gewandtheit, Kampf, Scharfsinn, Schießkunst, Wahrnehmung</t>
  </si>
  <si>
    <t>Weiter im Blatt Fähigkeiten und Spezialisierung</t>
  </si>
  <si>
    <t>Geschlecht</t>
  </si>
  <si>
    <t>Teil 2: Fähigkeiten und Spezialisierungen</t>
  </si>
  <si>
    <t>Teil 1: Allgemeines</t>
  </si>
  <si>
    <t>noch verfügbare Punkte für Spezialisierungen</t>
  </si>
  <si>
    <t>Blut der Eisenmänner</t>
  </si>
  <si>
    <t>Erbeigenschaften</t>
  </si>
  <si>
    <t>Blut der Andale</t>
  </si>
  <si>
    <t>Blut der erste Menschen</t>
  </si>
  <si>
    <t>Blut der Rhoyner</t>
  </si>
  <si>
    <t>Blut der Valyrier</t>
  </si>
  <si>
    <t>Blut der Wildlinge</t>
  </si>
  <si>
    <t>Heldenblut</t>
  </si>
  <si>
    <t>Riesig</t>
  </si>
  <si>
    <t>Meereswasser fließt durch deine Adern.</t>
  </si>
  <si>
    <t>Dein Erbe macht dich zäh und widersandsfähig.</t>
  </si>
  <si>
    <t>Du bis gelenkig und schwer zu fassen.</t>
  </si>
  <si>
    <t>Die Menschen finden dich unwiderstehlich.</t>
  </si>
  <si>
    <t>Du wurdest außerhalb der Tyrannei von Westeros geboren.</t>
  </si>
  <si>
    <t>Überschreite bei einer Fähigkeitsspezialisierung das Ranglimit von 7.</t>
  </si>
  <si>
    <t>verbleibende Schicksalspunkte</t>
  </si>
  <si>
    <t>Erbeigenschaft</t>
  </si>
  <si>
    <t>Vorteile</t>
  </si>
  <si>
    <t>Fähigkeitseigenschaften</t>
  </si>
  <si>
    <t>Gesellschaftseigenschaften</t>
  </si>
  <si>
    <t>Kampfkunsteigenschaften</t>
  </si>
  <si>
    <t>Schicksalseigenschaften</t>
  </si>
  <si>
    <t>Du hast ungewöhnlich viel Glück.</t>
  </si>
  <si>
    <t>Begabter Athlet</t>
  </si>
  <si>
    <t>Begabter Lehrer</t>
  </si>
  <si>
    <t>Bewertung</t>
  </si>
  <si>
    <t>Beziehungen</t>
  </si>
  <si>
    <t>Bildhaftes Gedächtnis</t>
  </si>
  <si>
    <t>Fachkenntnis</t>
  </si>
  <si>
    <t>Geländespezialist</t>
  </si>
  <si>
    <t>Geschärfte Sinne</t>
  </si>
  <si>
    <t>Großer Jäger</t>
  </si>
  <si>
    <t>Handwerk</t>
  </si>
  <si>
    <t>Heimlichkeit</t>
  </si>
  <si>
    <t>Abgehärtet</t>
  </si>
  <si>
    <t>Ignoriere -1 und -1W bei Ausdauerproben zum Erholen von Verletzungen.</t>
  </si>
  <si>
    <t>Teil 3: Vorteile</t>
  </si>
  <si>
    <t>ja</t>
  </si>
  <si>
    <t>Erlerne ein Handwerk.</t>
  </si>
  <si>
    <t>Weiter im Blatt Vorteile</t>
  </si>
  <si>
    <t>Rangreduktion bei</t>
  </si>
  <si>
    <t>Geschlecht des Charakters</t>
  </si>
  <si>
    <t>Name des Charakters</t>
  </si>
  <si>
    <t>Regelbücher und Abenteuer</t>
  </si>
  <si>
    <t>Grundregelwerk</t>
  </si>
  <si>
    <t>Schnellstartregeln</t>
  </si>
  <si>
    <t>Das Lied von Eis und Feuer - Das-Game-of-Thrones-Rollenspiel</t>
  </si>
  <si>
    <t>Das Lied von Eis und Feuer - Schnellstartregeln: Das Game-of-Thrones Rollenspiel</t>
  </si>
  <si>
    <t>Zubehör</t>
  </si>
  <si>
    <t>Regelwerke</t>
  </si>
  <si>
    <t>Spielleiterschirm</t>
  </si>
  <si>
    <t>Das Lied von Eis und Feuer - Erzählerset: Der Tabellenschirm für das Game-of-Thrones Rollenspiel</t>
  </si>
  <si>
    <t>Night's Watch - Nachtwache: Ein Quellenbuch für: Das Lied von Eis und Feuer - Das Game-of-Thrones-Rollenspiel</t>
  </si>
  <si>
    <t>Das Lied von Eis und Feuer - Der Kampagnenführer: Die Welt von Game-of-Thrones</t>
  </si>
  <si>
    <t>Quellenband</t>
  </si>
  <si>
    <t>Das Lied von Eis und Feuer - Der Chronikstarter</t>
  </si>
  <si>
    <t>Charaktergenerierung für das Game of Thrones Rollenspiel</t>
  </si>
  <si>
    <t>Autor dieses Tools ist Michael L. Jaegers</t>
  </si>
  <si>
    <t>Warn- und Fehlermeldungen:</t>
  </si>
  <si>
    <t>Name</t>
  </si>
  <si>
    <t>Haus</t>
  </si>
  <si>
    <t>Wert</t>
  </si>
  <si>
    <t>Schiess-kunst</t>
  </si>
  <si>
    <t>Kriegs-führung</t>
  </si>
  <si>
    <t>Verstohlen-heit</t>
  </si>
  <si>
    <t>Wahr-nehmung</t>
  </si>
  <si>
    <t>männlich</t>
  </si>
  <si>
    <t>Eigenschaften</t>
  </si>
  <si>
    <t>Intrigen</t>
  </si>
  <si>
    <t>Intrigenverteidigung</t>
  </si>
  <si>
    <t>Kampfverteidigung</t>
  </si>
  <si>
    <t>Gelassenheit</t>
  </si>
  <si>
    <t>Gesundheit</t>
  </si>
  <si>
    <t>Waffen</t>
  </si>
  <si>
    <t>Rüstung</t>
  </si>
  <si>
    <t>Probenwürfel</t>
  </si>
  <si>
    <t>Rüstungswert</t>
  </si>
  <si>
    <t>Rüstungsabzug</t>
  </si>
  <si>
    <t>Schaden</t>
  </si>
  <si>
    <t>Verletzungen</t>
  </si>
  <si>
    <t>Wunden</t>
  </si>
  <si>
    <t>Erscheinungsbild</t>
  </si>
  <si>
    <t>Größe</t>
  </si>
  <si>
    <t>Augenfarbe</t>
  </si>
  <si>
    <t>Gewicht</t>
  </si>
  <si>
    <t>Haarfarbe</t>
  </si>
  <si>
    <t>Eigenarten</t>
  </si>
  <si>
    <t>Ausrüstung</t>
  </si>
  <si>
    <t>Besondere Merkmale</t>
  </si>
  <si>
    <t>Bedienstete</t>
  </si>
  <si>
    <t>Persönliche Geschichte</t>
  </si>
  <si>
    <t>Verbündete</t>
  </si>
  <si>
    <t>Feinde</t>
  </si>
  <si>
    <t>Freunde</t>
  </si>
  <si>
    <t>Heraldik</t>
  </si>
  <si>
    <t>Portrait</t>
  </si>
  <si>
    <t>Worte</t>
  </si>
  <si>
    <t>Das Lied von 
Eis und Feuer</t>
  </si>
  <si>
    <t>======== Das ========
Game-of-Thrones-
Rollenspiel</t>
  </si>
  <si>
    <t>weiter im Charakterbogen</t>
  </si>
  <si>
    <t>Zusammenfassung der Fähigkeitseigenschaften</t>
  </si>
  <si>
    <t>aus Blatt 2</t>
  </si>
  <si>
    <t>nein</t>
  </si>
  <si>
    <t>*</t>
  </si>
  <si>
    <t>In der Menge verschwinden</t>
  </si>
  <si>
    <t>Künstler</t>
  </si>
  <si>
    <t>Kunstwerke erschaffen.</t>
  </si>
  <si>
    <t>Mime</t>
  </si>
  <si>
    <t>Du kannst Publikum unterhalten.</t>
  </si>
  <si>
    <t>Naturtalent</t>
  </si>
  <si>
    <t>Addiere +1 zum ausgewählten Probenereigis.</t>
  </si>
  <si>
    <t>Straßenkind</t>
  </si>
  <si>
    <t>Würfle 1en bei Diebeskunstproben erneut.</t>
  </si>
  <si>
    <t>Tierfreund</t>
  </si>
  <si>
    <t>Unheimlich</t>
  </si>
  <si>
    <t>+1W für Proben auf Umgang mit Tieren zum Abrichten oder Beruhigen.</t>
  </si>
  <si>
    <t>Du besitzt eine bedrohliche Ausstrahlung.</t>
  </si>
  <si>
    <t>Vielsprachig</t>
  </si>
  <si>
    <t>Sprachen leicht erlernen.</t>
  </si>
  <si>
    <t>Wendig</t>
  </si>
  <si>
    <t>Würfle 1en bei Gewandheitsproben erneut.</t>
  </si>
  <si>
    <t>Wissensfokus</t>
  </si>
  <si>
    <t>Erlange beispielloses Fachwissen auf einem bestimmten Fachgebiet.</t>
  </si>
  <si>
    <t>Wundertäter</t>
  </si>
  <si>
    <t>Zahlenmeister</t>
  </si>
  <si>
    <t>Diagnostiziere Patienten, um bedeutende Boni zu erhalten.</t>
  </si>
  <si>
    <t>Addiere Scharfsinnsrang zum Ergebnis von Statusproben für Hausglück und würfle 1en bei Statusproben für Geld erneut.</t>
  </si>
  <si>
    <t>Attraktiv</t>
  </si>
  <si>
    <t>Würfle 1en bei Überredungsproben erneut.</t>
  </si>
  <si>
    <t>Anziehend</t>
  </si>
  <si>
    <t>Charismatisch</t>
  </si>
  <si>
    <t>Verringere Gesinnungsbezüge auf Überredung um 2.</t>
  </si>
  <si>
    <t>Autorität</t>
  </si>
  <si>
    <t>Addiere +2 zum Ergebnis von Überredungsproben.</t>
  </si>
  <si>
    <t>Erfahrener Verhandlungsführer</t>
  </si>
  <si>
    <t>Kein Strafabzug aufgrund deiner Gesinnung.</t>
  </si>
  <si>
    <t>Günstling des Adels</t>
  </si>
  <si>
    <t>Günstling des Volks</t>
  </si>
  <si>
    <t>+1B für Überredungsproben gegen Charaktere mit Status 4 oder höher.</t>
  </si>
  <si>
    <t>Heimtückisch</t>
  </si>
  <si>
    <t>Addiere Scharfsinnsrang zum Ergbnis von Täuschungsproben.</t>
  </si>
  <si>
    <t>Höflich</t>
  </si>
  <si>
    <t>Pflichtbewusst</t>
  </si>
  <si>
    <t>Du besitzt tadellose Manieren.</t>
  </si>
  <si>
    <t>Deine Loyalität ist unfehlbar.</t>
  </si>
  <si>
    <t>Redegewand</t>
  </si>
  <si>
    <t>Du bist in einer Intrige automatisch zuerst dran.</t>
  </si>
  <si>
    <t>Respektiert</t>
  </si>
  <si>
    <t>Deine Errungenschaften und dein Ansehen bringen dir Respekt ein.</t>
  </si>
  <si>
    <t>Stur</t>
  </si>
  <si>
    <t>Unwiderstehlich</t>
  </si>
  <si>
    <t>Erhöhe Einfluß mit einer Spezialisierung um 1.</t>
  </si>
  <si>
    <t>Vorsichtiger Diplomat</t>
  </si>
  <si>
    <t>Behalte die Bonuswürfel von Überlegen während Intrigen.</t>
  </si>
  <si>
    <t>Weltgewandt</t>
  </si>
  <si>
    <t>+2B für Überredungsproben gegen Charaktere aus anderen Ländern als Westeros.</t>
  </si>
  <si>
    <t>Erziele höhere Ergebnisse beim Schmeicheln.</t>
  </si>
  <si>
    <t>Addiere Hingabe zur Gelassenheit.</t>
  </si>
  <si>
    <t>Akrobatische Verteidigung</t>
  </si>
  <si>
    <t>Kleinere Aktion, um doppelte Akrobatik zu Kampfverteidigung zu addiere.</t>
  </si>
  <si>
    <t>Axtkämpfer I</t>
  </si>
  <si>
    <t>Opfere Bonuswürfel für Extraschaden.</t>
  </si>
  <si>
    <t>Axtkämpfer II</t>
  </si>
  <si>
    <t>Opfere Bonuswürfel, um eine Wunde und die Eigenschaft Verstümmelung zu verursachen.</t>
  </si>
  <si>
    <t>Axtkämpfer III</t>
  </si>
  <si>
    <t>Opfere Bonuswürfel, um eine Wunde zu verursachen.</t>
  </si>
  <si>
    <t>Beflügelnd</t>
  </si>
  <si>
    <t>Erhalte Extrabefehl und opfere Befehl, um Probenergebnis zu wiederholen.</t>
  </si>
  <si>
    <t>Berserker</t>
  </si>
  <si>
    <t>Mache einen freien Angriff mit Verletzung oder Wunde; kämpfe über den Tod hinaus.</t>
  </si>
  <si>
    <t>Braavosi-Kämpfer I</t>
  </si>
  <si>
    <t>Braavosi-Kämpfer II</t>
  </si>
  <si>
    <t>Braavosi-Kämpfer III</t>
  </si>
  <si>
    <t>Erhöhe Abwehrbonus +1.</t>
  </si>
  <si>
    <t>Erhöhe deine Kampfverteidigung.</t>
  </si>
  <si>
    <t>Freier Angriff, wenn der Gegner dich verfehlt.</t>
  </si>
  <si>
    <t>Doppelschuss</t>
  </si>
  <si>
    <t>Dreifachschuss</t>
  </si>
  <si>
    <t>Verschieße drei Pfeile auf einmal.</t>
  </si>
  <si>
    <t>Verschieße zwei Pfeile auf einmal.</t>
  </si>
  <si>
    <t>Flink</t>
  </si>
  <si>
    <t>Führungsfigur</t>
  </si>
  <si>
    <t>Ordne automatisch eine Einheit neu.</t>
  </si>
  <si>
    <t>Gefahrensinn</t>
  </si>
  <si>
    <t>Würfle 1en bei Initiativeproben erneut und verwehre berraschungsgegner +1W beim Angriff auf dich.</t>
  </si>
  <si>
    <t>Gesalbt</t>
  </si>
  <si>
    <t>Geschickte Hände</t>
  </si>
  <si>
    <t>Kurzklingenkämpfer I</t>
  </si>
  <si>
    <t>Kurzklingenkämpfer II</t>
  </si>
  <si>
    <t>Kurzklingenkämpfer III</t>
  </si>
  <si>
    <t>+2 auf Statusproben, einmal pro Tag +5zu Verteidigungen.</t>
  </si>
  <si>
    <t>Verringere die Nachladezeit deiner Waffe.</t>
  </si>
  <si>
    <t>Kurzklingen erhalten Durchbohrend 1.</t>
  </si>
  <si>
    <t>Waffe ziehen als Freie Aktion, Bonus zu Probeergebnisse.</t>
  </si>
  <si>
    <t>Addiere Anzahl der Bonuswürfel als Extraschaden.</t>
  </si>
  <si>
    <t>Geldgeber</t>
  </si>
  <si>
    <t>Opfere Bonuswürfel für zusätzlichen Erfolgsgad.</t>
  </si>
  <si>
    <t>Opfere Bonuswürfel, um Ziel bei Treffer zu bewegen.</t>
  </si>
  <si>
    <t>Opfere Bonuswürfel, um Gegner zu verstümmeln.</t>
  </si>
  <si>
    <t>Langklingenkämpfer I</t>
  </si>
  <si>
    <t>Langklingenkämpfer II</t>
  </si>
  <si>
    <t>Präzise</t>
  </si>
  <si>
    <t>+1W gegen Feinde in Deckung.</t>
  </si>
  <si>
    <t>Raufbold I</t>
  </si>
  <si>
    <t>Raufbold II</t>
  </si>
  <si>
    <t>Raufbold III</t>
  </si>
  <si>
    <t>Fäuste sind schnell und teilen Extraschaden aus.</t>
  </si>
  <si>
    <t>Fäuste sind mächtig und addieren Athletikrang zum Kampfprobenergebnis.</t>
  </si>
  <si>
    <t>Betäube Gegner mit Faustangriffen.</t>
  </si>
  <si>
    <t>Rüstungsmeisterschaft</t>
  </si>
  <si>
    <t>+1 RW, -1 Last</t>
  </si>
  <si>
    <t>Schildmeisterschaft</t>
  </si>
  <si>
    <t>Erhöhe Abwehrbonus mit Schilden um +1.</t>
  </si>
  <si>
    <t>Schlagwaffenkämpfer I</t>
  </si>
  <si>
    <t>Schlagwaffenkämpfer II</t>
  </si>
  <si>
    <t>Schlagwaffenkämpfer III</t>
  </si>
  <si>
    <t>Waffen erhalten oder erhöhen Zerschmetternd um 1.</t>
  </si>
  <si>
    <t>Feind verliert 1 Kleinere Aktion bei Treffer und erhält -1 auf Proben.</t>
  </si>
  <si>
    <t>Feind erhält eine Wunde, liegt auf dem Boden und verliert eine Aktion.</t>
  </si>
  <si>
    <t>Speerkämpfer I</t>
  </si>
  <si>
    <t>Speerkämpfer II</t>
  </si>
  <si>
    <t>Speerkämpfer III</t>
  </si>
  <si>
    <t>Greife erneut an, wenn du nicht triffst.</t>
  </si>
  <si>
    <t>+1W beim Versuch Niederzuwerfen; greife Feinde bis zu 1 Extrameter entfernt an.</t>
  </si>
  <si>
    <t>Speere erhalten Durchbohred 2.</t>
  </si>
  <si>
    <t>Strahlgruss</t>
  </si>
  <si>
    <t>Wurfwaffen erhalten die Eigenschaft Schnell.</t>
  </si>
  <si>
    <t>Werfe Gegner mit einem Hieb zu Boden.</t>
  </si>
  <si>
    <t>Bonuswürfel werden zu Probenwürfeln, wenn du Reiter vom Pferd ziehst.</t>
  </si>
  <si>
    <t>Stangenwaffen</t>
  </si>
  <si>
    <t>Stangenwaffenkämpfer I</t>
  </si>
  <si>
    <t>Stangenwaffenkämpfer II</t>
  </si>
  <si>
    <t>Stangenwaffenkämpfer III</t>
  </si>
  <si>
    <t>Tödlicher Schuss</t>
  </si>
  <si>
    <t>Armbrüste und Bögen erhalten Durchbohrend 1 und Grausam.</t>
  </si>
  <si>
    <t>Bewegung +1 Meter, Sprint 5x Bewegung.</t>
  </si>
  <si>
    <t>Turnierritter</t>
  </si>
  <si>
    <t>Addiere urniere-Bonuswürfel zum Ergebnis von Proben auf Kampf und Umgang mit Tieren, wenn du tjostest.</t>
  </si>
  <si>
    <t>Verbesserte Rüstungsmeisterschaft</t>
  </si>
  <si>
    <t>Verbesserte Waffenmeisterschaft</t>
  </si>
  <si>
    <t>Erhöhe RW um weitere +1.</t>
  </si>
  <si>
    <t>Erhöhe Waffenschaden um +1.</t>
  </si>
  <si>
    <t>Waffenmeisterschaft</t>
  </si>
  <si>
    <t>Waffenexperte</t>
  </si>
  <si>
    <t>Ignoriere Ausbildungsanforderung und Abzüge für Waffen.</t>
  </si>
  <si>
    <t>Wassertänzer I</t>
  </si>
  <si>
    <t>Wassertänzer II</t>
  </si>
  <si>
    <t>Wassertänzer III</t>
  </si>
  <si>
    <t>Addiere Kampfrang zum Ergebnis von Wahrnehmungsproben.</t>
  </si>
  <si>
    <t>Addiere Kampfrang zum Ergebnis von Gewandheitsproben.</t>
  </si>
  <si>
    <t>Addiere Fechten zur Kampfverteidigung.</t>
  </si>
  <si>
    <t>Zäh</t>
  </si>
  <si>
    <t>Zorn</t>
  </si>
  <si>
    <t>Addiere Widerstandsfähigkeit zu Gesundheit.</t>
  </si>
  <si>
    <t>-2W, um +4 Schaden zu verursachen.</t>
  </si>
  <si>
    <t>Widerstandsfähigkeit</t>
  </si>
  <si>
    <t>Berühmt</t>
  </si>
  <si>
    <t>Bruder der Nachtwache</t>
  </si>
  <si>
    <t>Dein Ruhm verleiht dir einen Vorteil in Intrigen.</t>
  </si>
  <si>
    <t>Du bist Mitglied der Nachtwache.</t>
  </si>
  <si>
    <t>Du wirst eines Tages die Länder und den Besitz deiner Familie erben.</t>
  </si>
  <si>
    <t>Erbstück</t>
  </si>
  <si>
    <t>Du erhältst eine Waffe aus Valyrischem Stahl.</t>
  </si>
  <si>
    <t>Erhalte einmal pro Tag +1W.</t>
  </si>
  <si>
    <t>Glückspilz</t>
  </si>
  <si>
    <t>Erhalte einen mächtigen Verbündeten.</t>
  </si>
  <si>
    <t>Wiederhole pro Tag eine Probe und nimm das bessere Ergebnis.</t>
  </si>
  <si>
    <t>Grundbesitz</t>
  </si>
  <si>
    <t>Grüner Blick</t>
  </si>
  <si>
    <t>Kader</t>
  </si>
  <si>
    <t>Du erhältst Länder und Besitztümer.</t>
  </si>
  <si>
    <t>Erfahre wahre Träume.</t>
  </si>
  <si>
    <t>Du bekommst einen Veteranentrupp.</t>
  </si>
  <si>
    <t>Kopf des Hauses</t>
  </si>
  <si>
    <t>Du bist das hochrangigste Mitglied deines Adelshauses.</t>
  </si>
  <si>
    <t>Leibwechsler</t>
  </si>
  <si>
    <t>Warg</t>
  </si>
  <si>
    <t>Du kannst in andere Tiere als deinen Tierbegleiter wechseln.</t>
  </si>
  <si>
    <t>Du bist ein Maeste der Zitadelle.</t>
  </si>
  <si>
    <t>Mann der Königsgarde</t>
  </si>
  <si>
    <t>Du bist verpflichtet, die königiche Familie zu beschützen.</t>
  </si>
  <si>
    <t>Nachtaugen</t>
  </si>
  <si>
    <t>Rabenmeister</t>
  </si>
  <si>
    <t>Du kannst im Dunkeln sehen.</t>
  </si>
  <si>
    <t>Schicke Raben los, um Botschaften auszutragn.</t>
  </si>
  <si>
    <t>Fülle jeden Monat deine Kassen auf.</t>
  </si>
  <si>
    <t>Wargträume</t>
  </si>
  <si>
    <t>Tierbegleiter</t>
  </si>
  <si>
    <t>Erlange den Dienst eines Tierbegleites.</t>
  </si>
  <si>
    <t>Du erhältst den Dienst eines treu ergebenen Verbündeten.</t>
  </si>
  <si>
    <t>Du kannst in den Leib deines Tierbegleiters wechseln.</t>
  </si>
  <si>
    <t>Du siehst im Traum gelegentlich mit den Augen deines Tierbegleiters.</t>
  </si>
  <si>
    <t>Zusammenfassung der Spezialisierungen</t>
  </si>
  <si>
    <t>Anforderungen</t>
  </si>
  <si>
    <t>Ist</t>
  </si>
  <si>
    <t>Langklingenkämpfer III</t>
  </si>
  <si>
    <t>ODER</t>
  </si>
  <si>
    <t>Alchemie</t>
  </si>
  <si>
    <t>Architektur</t>
  </si>
  <si>
    <t>Astronomie</t>
  </si>
  <si>
    <t>Geographie</t>
  </si>
  <si>
    <t>Gschichte und Legenden</t>
  </si>
  <si>
    <t>Magie</t>
  </si>
  <si>
    <t>Natur</t>
  </si>
  <si>
    <t>Religion</t>
  </si>
  <si>
    <t>Unterwelt</t>
  </si>
  <si>
    <t>andere Formel!</t>
  </si>
  <si>
    <t>Voraussetzung erfüllt?</t>
  </si>
  <si>
    <t>Wandle die Hälfte der Bonuswürfel in Probenwüfel um.</t>
  </si>
  <si>
    <t>Gewähre Studenten Bonuswürfel.</t>
  </si>
  <si>
    <t>Scharfsinnsprobe, um Objektwert zu bestimmen.</t>
  </si>
  <si>
    <t>+1W für Wissensproben an ausgesuchtem Ort.</t>
  </si>
  <si>
    <t>Bonuswürfel für Erinnerung werden zu Probenwürfel.</t>
  </si>
  <si>
    <t>Erhalte mit einer Spezialisierung +1W.</t>
  </si>
  <si>
    <t>Addiere im ausgewählten Gelände Bildung zum Ergebnis von Überlebensproben.</t>
  </si>
  <si>
    <t>Würfle 1en bei Wahrnehmungsproben erneut und addiere Scharfsinnsrang zum Ergebnis passiver Wahrnehmungsproben.</t>
  </si>
  <si>
    <t>Bonus beim Bekämpfen, Jagen und Verfolgen von Tieren.</t>
  </si>
  <si>
    <t>Würfle 1en bei Proben auf Schleichen erneut und zähle Gewandtheitsrang zum Ergebnis.</t>
  </si>
  <si>
    <t>Untertauchen als Freie Aktion. Addiere Scharfsinnsrang zum Ergebnis von Proben auf Untertauchen.</t>
  </si>
  <si>
    <t>(Jeder Ort/jede Region nur einmal auswählbar.)</t>
  </si>
  <si>
    <t>(Jede Spezialisierung max. einmal auswählbar.)</t>
  </si>
  <si>
    <t>(Jede Fähigkeit maximal einmal.)</t>
  </si>
  <si>
    <t>Kummulierender Text</t>
  </si>
  <si>
    <t>kummulierende Hilfstexte</t>
  </si>
  <si>
    <t>(Jede Waffe ist nur einmal wählbar.)</t>
  </si>
  <si>
    <t>ungültiges Eingabefeld</t>
  </si>
  <si>
    <t>Bonus</t>
  </si>
  <si>
    <t>verbrannte Schicksalspunkte</t>
  </si>
  <si>
    <t>In der Direkteingabespalte ODER in der Würfeleingabespalte in den orangefarbenen Feldern die gewünschten Werte eingeben. Die Direkteingabespalte überregelt dabei die Werte in der Würfeleingabespalte. Wer keinen Würfel zur Hand hat, kann den Wert aus der Spalte Zufall übernehmen, der bei jeder Veränderung an der Tabelle neu berechnet wird.</t>
  </si>
  <si>
    <t>oder direkt zum</t>
  </si>
  <si>
    <t>Charakterbogen</t>
  </si>
  <si>
    <t>weiter zu den Nachteilen</t>
  </si>
  <si>
    <t>Teil 4: Nachteile</t>
  </si>
  <si>
    <t>investierte Schicksalspunkte (Vorteile)</t>
  </si>
  <si>
    <t>erhaltene Schicksalspunkte (Nachteile)</t>
  </si>
  <si>
    <t>Nachteile</t>
  </si>
  <si>
    <t>Ausgestoßener</t>
  </si>
  <si>
    <t>Bastard</t>
  </si>
  <si>
    <t>Verliere deinen Familiennamen und erhalte -1W für Überredungsproben gegen Charaktere mit höherem Status.</t>
  </si>
  <si>
    <t>Bedrohlich</t>
  </si>
  <si>
    <t>Andere werden in dener Nähe nervös.</t>
  </si>
  <si>
    <t>Ehrverpflichtet</t>
  </si>
  <si>
    <t>Du bist gezwungen die Wahrheit zu sagen.</t>
  </si>
  <si>
    <t>Eunuch</t>
  </si>
  <si>
    <t>Du wurdest kastriert.</t>
  </si>
  <si>
    <t>Erzfeind</t>
  </si>
  <si>
    <t>Du bekommst einen Feind.</t>
  </si>
  <si>
    <t>Extreme Arroganz</t>
  </si>
  <si>
    <t>Du bist von deiner Position geblendet.</t>
  </si>
  <si>
    <t>-1 für alle Proben in Kämpfen und Intrigen.</t>
  </si>
  <si>
    <t>Furcht</t>
  </si>
  <si>
    <t>Du hast vor etwas Angst.</t>
  </si>
  <si>
    <t>Geschmäht</t>
  </si>
  <si>
    <t>Du wirst verachtet.</t>
  </si>
  <si>
    <t>Gezeichnet</t>
  </si>
  <si>
    <t>Würfle 6en bei Überredungsproben erneut.</t>
  </si>
  <si>
    <t>Grausamer Wahnsinn</t>
  </si>
  <si>
    <t>Du kannst die Konsequenzen deiner Taten nicht erkennen.</t>
  </si>
  <si>
    <t>Greisenhaft</t>
  </si>
  <si>
    <t>Dein fortgeschrittenes Alter schränkt dich ein.</t>
  </si>
  <si>
    <t>Alt oder älter</t>
  </si>
  <si>
    <t>Hochmütig</t>
  </si>
  <si>
    <t>Kinderkrankheit</t>
  </si>
  <si>
    <t>Kränklich</t>
  </si>
  <si>
    <t>Korrektheit dominiert dein Verhalten.</t>
  </si>
  <si>
    <t>Verringere Gesundheit um -2.</t>
  </si>
  <si>
    <t>Naiv</t>
  </si>
  <si>
    <t>Schlechte Gesundheit</t>
  </si>
  <si>
    <t>Schulden</t>
  </si>
  <si>
    <t>Sinnesstörung</t>
  </si>
  <si>
    <t>Du erhältst -1W für alle Überredungsproben mit deinem Geburts- und deinem Ziehhaus.</t>
  </si>
  <si>
    <t>Du lässt dich leicht täuschen.</t>
  </si>
  <si>
    <t>Verringere Ergebnis von Ausdauerproben um -3.</t>
  </si>
  <si>
    <t>Einkäufe sind doppelt so teuer.</t>
  </si>
  <si>
    <t>Wahrnehmungsproben für gestörten Sinn misslingen, -1 Meter Bewegung.</t>
  </si>
  <si>
    <t>Stumm</t>
  </si>
  <si>
    <t>Trinker</t>
  </si>
  <si>
    <t>Unbeholfen</t>
  </si>
  <si>
    <t>Unehrenhaft</t>
  </si>
  <si>
    <t>Verflucht</t>
  </si>
  <si>
    <t>Du kannst nicht sprechen.</t>
  </si>
  <si>
    <t>Du findest ungesunden Geallen an Alkohol.</t>
  </si>
  <si>
    <t>Würfle 6en bei Gewandtheitsproben erneut.</t>
  </si>
  <si>
    <t>-1W für Überredungs- und Statusproben.</t>
  </si>
  <si>
    <t>Verfolgt</t>
  </si>
  <si>
    <t>Vergesslich</t>
  </si>
  <si>
    <t>Verkrüppet</t>
  </si>
  <si>
    <t>Verstörende Angewohnheit</t>
  </si>
  <si>
    <t>Verstümmelt</t>
  </si>
  <si>
    <t>Wollüstig</t>
  </si>
  <si>
    <t>Wütend</t>
  </si>
  <si>
    <t>Zwerg</t>
  </si>
  <si>
    <t>Du wirst von alten Erinnerungen gequält.</t>
  </si>
  <si>
    <t>Würfle 6en bei Scharfsinnsproben erneut.</t>
  </si>
  <si>
    <t>Verringere Bewegung um -2 Meter.</t>
  </si>
  <si>
    <t>Verliere eine Gliedmaße.</t>
  </si>
  <si>
    <t>Deine erste Überredungsprobe in einer Intrige geschieht mit Verführen; -1W für Schmeicheln.</t>
  </si>
  <si>
    <t>Deine erste Überredungsprobe in einer Intrige geschieht mit Einschüchtern; -2W für Verführungsversuche.</t>
  </si>
  <si>
    <t>-1 Meter Bewegung;-1W für Überredungsproben mit Schmeicheln und Verführen.</t>
  </si>
  <si>
    <t>-2W für Ausdauerprobe, um Gefahren und Krankheiten zu widerstehen.</t>
  </si>
  <si>
    <t>Bastardnamen</t>
  </si>
  <si>
    <t>Wasser</t>
  </si>
  <si>
    <t>Schnee</t>
  </si>
  <si>
    <t>Peik</t>
  </si>
  <si>
    <t>Strom</t>
  </si>
  <si>
    <t>Hügel</t>
  </si>
  <si>
    <t>Blumen</t>
  </si>
  <si>
    <t>Sturm</t>
  </si>
  <si>
    <t>Sand</t>
  </si>
  <si>
    <t>Das grüne Tal</t>
  </si>
  <si>
    <t>Stein</t>
  </si>
  <si>
    <t>Vielsitzend</t>
  </si>
  <si>
    <t>Gebrechlich</t>
  </si>
  <si>
    <t>Plump</t>
  </si>
  <si>
    <t>Ungelenk</t>
  </si>
  <si>
    <t>Unsensibel</t>
  </si>
  <si>
    <t>Unfähig</t>
  </si>
  <si>
    <t>Ängstlich</t>
  </si>
  <si>
    <t>Dumm</t>
  </si>
  <si>
    <t>Wackelig</t>
  </si>
  <si>
    <t>Schweigsam</t>
  </si>
  <si>
    <t>Jämmerlich</t>
  </si>
  <si>
    <t>Durchschaubar</t>
  </si>
  <si>
    <t>Verwöhnt</t>
  </si>
  <si>
    <t>Schüchtern</t>
  </si>
  <si>
    <t>erzlos</t>
  </si>
  <si>
    <t>Auffällig</t>
  </si>
  <si>
    <t>Stumpfsinnig</t>
  </si>
  <si>
    <t>Ungestüm</t>
  </si>
  <si>
    <t>Unkultiviert</t>
  </si>
  <si>
    <t xml:space="preserve">Verringere Status um 2. </t>
  </si>
  <si>
    <t>berücksichtigt</t>
  </si>
  <si>
    <t>Du besitzt einen ungewöhnlichen Zwang.</t>
  </si>
  <si>
    <t>vermerkte Nachteile</t>
  </si>
  <si>
    <t>alle anderen</t>
  </si>
  <si>
    <t>Kummulierender Text mit Beschreibung</t>
  </si>
  <si>
    <t>Attribute</t>
  </si>
  <si>
    <t>Kampf-
verteidigung</t>
  </si>
  <si>
    <t>Intrigen-
verteidigung</t>
  </si>
  <si>
    <t>Bewegen, Sprinten, Wahrnehmung, Passiv</t>
  </si>
  <si>
    <t>Waffen &amp; Rüstung</t>
  </si>
  <si>
    <t>Persönliche
Ausrüstung</t>
  </si>
  <si>
    <t>In Vorbereitung…</t>
  </si>
  <si>
    <t>Hier fehlt noch der Wert für die Last</t>
  </si>
  <si>
    <t>Die Werte für diesen Bogen werden zum Teil aus den Eingaben des Charakterbogens gewonnen.</t>
  </si>
  <si>
    <t>ausfüllbares Feld</t>
  </si>
  <si>
    <t>&lt;- oder -&gt;</t>
  </si>
  <si>
    <t>Hintergrund 
(Greis)</t>
  </si>
  <si>
    <t>Hintergrund 
(Sehr alt)</t>
  </si>
  <si>
    <t>Hintergrund 
(Alt)</t>
  </si>
  <si>
    <t>Hintergrund 
(Mittleren Alters)</t>
  </si>
  <si>
    <t>Hintergrund 
(Erwachsen)</t>
  </si>
  <si>
    <t>Hintergrund 
(Jugendlich)</t>
  </si>
  <si>
    <t>Hintergrund 
(Heranwachsend)</t>
  </si>
  <si>
    <t>Hintergrund 
(Jung)</t>
  </si>
  <si>
    <t>Stufe</t>
  </si>
  <si>
    <t>Sprachen</t>
  </si>
  <si>
    <t>Gemeine Zunge</t>
  </si>
  <si>
    <t>Alte Sprache</t>
  </si>
  <si>
    <t>Asshai</t>
  </si>
  <si>
    <t>Braavost</t>
  </si>
  <si>
    <t>Dothraki</t>
  </si>
  <si>
    <t>Ghiscari</t>
  </si>
  <si>
    <t>Ibbenesisch</t>
  </si>
  <si>
    <t>Lysenisch</t>
  </si>
  <si>
    <t>Myrisch</t>
  </si>
  <si>
    <t>Norvosan</t>
  </si>
  <si>
    <t>Pentoshi</t>
  </si>
  <si>
    <t>Qartheen</t>
  </si>
  <si>
    <t>Sklavenhändlerjargon</t>
  </si>
  <si>
    <t>Tyroshi</t>
  </si>
  <si>
    <t>Valyrisch</t>
  </si>
  <si>
    <t>Hochvalyrisch</t>
  </si>
  <si>
    <t>Wahl eines Nachteils statt eines Makels</t>
  </si>
  <si>
    <t>Ja</t>
  </si>
  <si>
    <t>Nachteil aus Makel (ab Erwachsen)</t>
  </si>
  <si>
    <t>Last</t>
  </si>
  <si>
    <t>Kleidung</t>
  </si>
  <si>
    <t>Roben, Gewänder</t>
  </si>
  <si>
    <t>Polsterrüstung</t>
  </si>
  <si>
    <t>Weichleder</t>
  </si>
  <si>
    <t>Hartleder</t>
  </si>
  <si>
    <t>Holz- oder Knochenrüstung</t>
  </si>
  <si>
    <t>Ringpanzer</t>
  </si>
  <si>
    <t>Fellrüstung</t>
  </si>
  <si>
    <t>Kettenpanzer</t>
  </si>
  <si>
    <t>Brustharnisch</t>
  </si>
  <si>
    <t>Schuppenpanzer</t>
  </si>
  <si>
    <t>Bänderrüstung</t>
  </si>
  <si>
    <t>Brigantine</t>
  </si>
  <si>
    <t>Plattenharnisch</t>
  </si>
  <si>
    <t>Plattenpanzer</t>
  </si>
  <si>
    <t>Schild</t>
  </si>
  <si>
    <t>Schild / Abwehr</t>
  </si>
  <si>
    <t>Abwehr</t>
  </si>
  <si>
    <t>Handaxt</t>
  </si>
  <si>
    <t>Abwehrwert</t>
  </si>
  <si>
    <t>Braavosi-Klinge</t>
  </si>
  <si>
    <t>Linkshändiger Dolch</t>
  </si>
  <si>
    <t>Dolch</t>
  </si>
  <si>
    <t>Faustschild</t>
  </si>
  <si>
    <t>Großschild</t>
  </si>
  <si>
    <t>Turmschild</t>
  </si>
  <si>
    <t>Last
(Rüstung und Schild)</t>
  </si>
  <si>
    <t>Bewegung
(normal/sprint)</t>
  </si>
  <si>
    <t>Kampfverteidigung beinhaltet noch nicht den Wert für Abwehrbonus!</t>
  </si>
  <si>
    <t>Hacke</t>
  </si>
  <si>
    <t>Ausbildung</t>
  </si>
  <si>
    <t>Schaden berechnet</t>
  </si>
  <si>
    <t>Langaxt</t>
  </si>
  <si>
    <t>Rabenschnabel</t>
  </si>
  <si>
    <t>Streitaxt</t>
  </si>
  <si>
    <t>Waldaxt</t>
  </si>
  <si>
    <t>Leichte Armbrust</t>
  </si>
  <si>
    <t>Mittlere Armbrust</t>
  </si>
  <si>
    <t>Myrische Armbrust</t>
  </si>
  <si>
    <t>Schwere Armbrust</t>
  </si>
  <si>
    <t>Jagdbogen</t>
  </si>
  <si>
    <t>Langbogen</t>
  </si>
  <si>
    <t>Reflexbogen</t>
  </si>
  <si>
    <t>Parierdolch</t>
  </si>
  <si>
    <t>Linkshänder Dolch</t>
  </si>
  <si>
    <t>Langdolch</t>
  </si>
  <si>
    <t>Arakh</t>
  </si>
  <si>
    <t>Bastardschwert</t>
  </si>
  <si>
    <t>Grossschwert</t>
  </si>
  <si>
    <t>Langschwert</t>
  </si>
  <si>
    <t>Faust</t>
  </si>
  <si>
    <t>improvisierte Waffe</t>
  </si>
  <si>
    <t>Messer</t>
  </si>
  <si>
    <t>Panzerhandschuh</t>
  </si>
  <si>
    <t>Peitsche</t>
  </si>
  <si>
    <t>Flegel</t>
  </si>
  <si>
    <t>Kampfstab</t>
  </si>
  <si>
    <t>Knüppel/Keule</t>
  </si>
  <si>
    <t>Kriegshammer</t>
  </si>
  <si>
    <t>Morgenstern</t>
  </si>
  <si>
    <t>Schmiedehammer</t>
  </si>
  <si>
    <t>Streitflegel</t>
  </si>
  <si>
    <t>Streitkolben</t>
  </si>
  <si>
    <t>Dreizack</t>
  </si>
  <si>
    <t>Froschspeer</t>
  </si>
  <si>
    <t>Kriegslanze</t>
  </si>
  <si>
    <t>Saufeder</t>
  </si>
  <si>
    <t>Turnierlanze</t>
  </si>
  <si>
    <t>Bauernwerkzeug</t>
  </si>
  <si>
    <t>Hellebarde</t>
  </si>
  <si>
    <t>Mordaxt</t>
  </si>
  <si>
    <t>Netz</t>
  </si>
  <si>
    <t>Schleuder</t>
  </si>
  <si>
    <t>Athletik +1</t>
  </si>
  <si>
    <t>Athletik -1</t>
  </si>
  <si>
    <t>Athletik +3</t>
  </si>
  <si>
    <t>Stilett</t>
  </si>
  <si>
    <t>Gewandtheit +1</t>
  </si>
  <si>
    <t>Gewandtheit +2</t>
  </si>
  <si>
    <t>Gewandtheit -1</t>
  </si>
  <si>
    <t>Gewandtheit -2</t>
  </si>
  <si>
    <t>Athletik -3</t>
  </si>
  <si>
    <t>Athletik -2</t>
  </si>
  <si>
    <t>Umgang mit Tieren +4</t>
  </si>
  <si>
    <t>Athletik +2</t>
  </si>
  <si>
    <t>Umgang mit Tieren +3</t>
  </si>
  <si>
    <t>Keiner</t>
  </si>
  <si>
    <t>Langsam, Mächtig, Zweihändig</t>
  </si>
  <si>
    <t>Abwehr +1, Nebenhand +1</t>
  </si>
  <si>
    <t>Zerschmetternd 1</t>
  </si>
  <si>
    <t>Vielseitig</t>
  </si>
  <si>
    <t>Zweihändig</t>
  </si>
  <si>
    <t>Langdistanz, Langsam, Nachladen (Kleiner)</t>
  </si>
  <si>
    <t>Durchbohrend 1, Langdistanz, Langsam, Nachladen (Kleiner), Zweihändig</t>
  </si>
  <si>
    <t>Durchbohrend 1, Langdistanz, Nachladen (Kleiner), Schnell, Zweihändig</t>
  </si>
  <si>
    <t>Durchbohrend 2, Grausam, Langdistanz, Langsam, Nachladen (Größer), Zweihändig</t>
  </si>
  <si>
    <t>Langdistanz, Zweihändig</t>
  </si>
  <si>
    <t>Durchbohrend 1, Langdistanz, Sperrig, Zweihändig</t>
  </si>
  <si>
    <t>Langdistanz, Mächtig, Zweihändig</t>
  </si>
  <si>
    <t>Abwehr +1, Schnell</t>
  </si>
  <si>
    <t>Schnell</t>
  </si>
  <si>
    <t>Abwehr +2, Nebenhand +1</t>
  </si>
  <si>
    <t>Nebenhand +2</t>
  </si>
  <si>
    <t>Schnell, Vielseitig</t>
  </si>
  <si>
    <t>Durchbohrend 2</t>
  </si>
  <si>
    <t>Grausam, Langsam, Mächtig, Sperrig, Zweihändig</t>
  </si>
  <si>
    <t>Greifen, Nebenhand +1</t>
  </si>
  <si>
    <t>Nebenhand +1, Schnell</t>
  </si>
  <si>
    <t>Reichweite, Umschlingend</t>
  </si>
  <si>
    <t>Mächtig, Zerschmetternd 1, Zweihändig</t>
  </si>
  <si>
    <t>Schnell, Zweihändig</t>
  </si>
  <si>
    <t>Abwehr +4, Last 2</t>
  </si>
  <si>
    <t>Langsam, Last 1, Mächtig, Zerschmetternd 2, Zweihändig</t>
  </si>
  <si>
    <t>Grausam, Zerschmetternd 1</t>
  </si>
  <si>
    <t>Langsam, Last 1, Wuchtig, Zerschmetternd 1, Zweihändig</t>
  </si>
  <si>
    <t>Mächtig, Zerschmetternd 1</t>
  </si>
  <si>
    <t>Langsam, Vielseitig</t>
  </si>
  <si>
    <t>Aufspießend, Beritten, Grausam, Langsam, Last 2, Mächtig</t>
  </si>
  <si>
    <t>Aufspießend, Langsam, Mächtig, Zweihändig</t>
  </si>
  <si>
    <t>Aufspießend, Gegenwehr, Langsam, Sperrig, Zweihändig</t>
  </si>
  <si>
    <t>Beritten, Langsam, Last 1, Mächtig, Reichweite, Zerbrechlich</t>
  </si>
  <si>
    <t>Sperrig, Zerbrechlich, Zweihändig</t>
  </si>
  <si>
    <t>Last 1, Mächtig, Zweihändig</t>
  </si>
  <si>
    <t>Last 1, Mächtig, Reichweite, Sperrig, Zweihändig</t>
  </si>
  <si>
    <t>Kurzdistanz</t>
  </si>
  <si>
    <t>Kurzdistanz, Schnell</t>
  </si>
  <si>
    <t>Kurzdistanz, Umschlingend</t>
  </si>
  <si>
    <t>Langdistanz</t>
  </si>
  <si>
    <t>(Athletik + Gewandheit + Wahrnehmung + Rüstungsabzug) 
+ Abwehrbonus</t>
  </si>
  <si>
    <t>(Scharfsinn + Status + Wahrnehmung)</t>
  </si>
  <si>
    <t>(Willensränge x 3)</t>
  </si>
  <si>
    <t>(Ausdauerränge x 3)</t>
  </si>
  <si>
    <t>Schaden berechnet, min. 1</t>
  </si>
  <si>
    <t>Wurfspiess</t>
  </si>
  <si>
    <t>Grossschild</t>
  </si>
  <si>
    <t>Spiess</t>
  </si>
  <si>
    <t>Speer (Wurfwaffe)</t>
  </si>
  <si>
    <t>Speer (Speere)</t>
  </si>
  <si>
    <r>
      <t xml:space="preserve">Waffenschaden / Eigenschaften
</t>
    </r>
    <r>
      <rPr>
        <sz val="12"/>
        <color theme="0"/>
        <rFont val="Garamond"/>
        <family val="1"/>
      </rPr>
      <t>(Schaden = Grundschaden * Erfolgsgrad - Rüstungswert)</t>
    </r>
  </si>
  <si>
    <t>Qualität</t>
  </si>
  <si>
    <t>Angriffswaffe</t>
  </si>
  <si>
    <t>Waffenqualität</t>
  </si>
  <si>
    <t>schlecht</t>
  </si>
  <si>
    <t>normal</t>
  </si>
  <si>
    <t>überlegen</t>
  </si>
  <si>
    <t>Modifikator</t>
  </si>
  <si>
    <t>-1W für Kampf- und Schießkunstproben</t>
  </si>
  <si>
    <t>kein Modifikator</t>
  </si>
  <si>
    <t>+1 zum Ergebnis aller Kampf- und Schießkunstproben</t>
  </si>
  <si>
    <t>Würfelmodifikator</t>
  </si>
  <si>
    <t>Ergebnismodifikator</t>
  </si>
  <si>
    <t>+1 zum Ergebnis aller Kampf- und Schießkunstproben und +1 zum Grundschaden der Waffe</t>
  </si>
  <si>
    <t>Grundschadenmodifikator</t>
  </si>
  <si>
    <t>außergewöhnlich</t>
  </si>
  <si>
    <t>Verteidigungskonstrukteur</t>
  </si>
  <si>
    <t>Du kannst Befestigungen entwerfen und verstärken.</t>
  </si>
  <si>
    <t>Günstling der Wildlinge</t>
  </si>
  <si>
    <t>+1B für Überredungsproben mit Wildlingen.</t>
  </si>
  <si>
    <t>+1B für Überredungsproben gegen Charaktere mit Status 3 oder niedriger.</t>
  </si>
  <si>
    <t>Wildlingsgeliebte</t>
  </si>
  <si>
    <t>Du hast eine Geliebte beim freien Volk.</t>
  </si>
  <si>
    <t>Unvergessen</t>
  </si>
  <si>
    <t>Einmal am Tag +1B für beliebige Probe bei Erinnerung an Zuhause.</t>
  </si>
  <si>
    <t>Mitglied der Nachtwache</t>
  </si>
  <si>
    <t>Deserteur</t>
  </si>
  <si>
    <t>-1W für Willensproben (Mut) sowie niedrigerer Gesinnungswert in Intrigen mit anderen Nachtwachen; oder du wirst von der Nachtwache gesucht.</t>
  </si>
  <si>
    <t>Duft des langen Sommers</t>
  </si>
  <si>
    <t>-1W für Ausdauerproben gegen die Auswirkungen des kalten Wetters.</t>
  </si>
  <si>
    <t>Frostbeulen</t>
  </si>
  <si>
    <t>Du hast Erfrierungen erlitten.</t>
  </si>
  <si>
    <t>Kniender</t>
  </si>
  <si>
    <t>-2W für alle Status- und Überredungsproben mit Wildlingen.</t>
  </si>
  <si>
    <t>Verurteilter</t>
  </si>
  <si>
    <t>-1W für alle Überredungsproben und Hinrichtung bei Fahnenflucht.</t>
  </si>
  <si>
    <t>Wildlingskind</t>
  </si>
  <si>
    <t>-1W für Statusproben gegen Nachtwachen; -2W gegen andere Menschen der Sieben Königslande.</t>
  </si>
  <si>
    <t>Mitglieder der Nachtwache beginnen mit einem Schicksalspunkt weniger, dafür haben sie aber den entsprechenden Vorteil kostenfrei.
Darüber hinaus: Kein Besitz, außer Schwert, warme Kleidung und schwarzer Wollumhang, mittelgroßer Holzschild und keine Werkzeuge für die Mauer, es sei denn, der Charakter ist von adliger Herkunft.</t>
  </si>
  <si>
    <t>Bitte nur orangefarbene Felder ausfüllen. Ein dezentes rot im Eingabefeld weist auf eine nicht gegebene Voraussetzung für den Vorteil oder eine Überschreitung der verfügbaren Schicksalspunkte hin. Ob ein Feld ausgewählt werden kann, zeigt auch die letzte Spalte an (WAHR = Alle Voraussetzungen erfüllt.)
Vorteile aus dem Band "Die Nachtwache" sind grau hinterlegt, stehen jedoch allen Charakteren zur Verfügung.</t>
  </si>
  <si>
    <t>Bitte nur orangefarbene Felder ausfüllen. Ein dezentes rot im Eingabefeld weist auf eine nicht gegebene Voraussetzung für den Vorteil oder eine Überschreitung der verfügbaren Schicksalspunkte hin. Ob ein Feld ausgewählt werden kann, zeigt auch die letzte Spalte an (WAHR = Alle Voraussetzungen erfüllt.)
Nachteile aus dem Band "Die Nachtwache" sind grau hinterlegt, stehen jedoch allen Charakteren zur Verfügung.</t>
  </si>
  <si>
    <t>Dieses Charaktergenerierungtool ist für das Rollenspiel "Das Lied von Eis und Feuer", bzw. "Game of Throns" von Robert J. Schwalb. In Deutschland erschienen im Mantikore Verlag.</t>
  </si>
  <si>
    <t>Mit Dank an Jan Rüther.</t>
  </si>
  <si>
    <t>Grausam, Last 1, Mächtig, Reichweite, Zweihändig</t>
  </si>
  <si>
    <t>keine</t>
  </si>
  <si>
    <t>Langsam</t>
  </si>
  <si>
    <t>Abwehr +2</t>
  </si>
  <si>
    <t>Abwehr +6, Last 2</t>
  </si>
  <si>
    <t>Nebenhand +1</t>
  </si>
  <si>
    <t>zur Lastberechnung</t>
  </si>
  <si>
    <r>
      <t xml:space="preserve">Last
</t>
    </r>
    <r>
      <rPr>
        <sz val="12"/>
        <color theme="1"/>
        <rFont val="Garamond"/>
        <family val="1"/>
      </rPr>
      <t>(Waffe, Rüstung und Schild)</t>
    </r>
  </si>
  <si>
    <t>Primärsprache</t>
  </si>
  <si>
    <t>Dragon's Hoard</t>
  </si>
  <si>
    <t>Version 24.8.17 © Jaegers.Net</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</si>
</sst>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b/>
      <sz val="20"/>
      <color theme="1"/>
      <name val="Garamond"/>
      <family val="1"/>
    </font>
    <font>
      <sz val="11"/>
      <color theme="1"/>
      <name val="Garamond"/>
      <family val="1"/>
    </font>
    <font>
      <sz val="11"/>
      <color rgb="FF3F3F76"/>
      <name val="Garamond"/>
      <family val="1"/>
    </font>
    <font>
      <b/>
      <sz val="11"/>
      <color rgb="FFFA7D00"/>
      <name val="Garamond"/>
      <family val="1"/>
    </font>
    <font>
      <b/>
      <sz val="11"/>
      <color theme="1"/>
      <name val="Garamond"/>
      <family val="1"/>
    </font>
    <font>
      <b/>
      <sz val="11"/>
      <color rgb="FFFF0000"/>
      <name val="Garamond"/>
      <family val="1"/>
    </font>
    <font>
      <u/>
      <sz val="11"/>
      <color theme="10"/>
      <name val="Calibri"/>
      <family val="2"/>
      <scheme val="minor"/>
    </font>
    <font>
      <b/>
      <sz val="8"/>
      <color indexed="81"/>
      <name val="Segoe UI"/>
      <family val="2"/>
    </font>
    <font>
      <sz val="11"/>
      <color rgb="FF9C0006"/>
      <name val="Calibri"/>
      <family val="2"/>
      <scheme val="minor"/>
    </font>
    <font>
      <sz val="20"/>
      <color theme="1"/>
      <name val="Garamond"/>
      <family val="1"/>
    </font>
    <font>
      <b/>
      <u/>
      <sz val="11"/>
      <color rgb="FFFF0000"/>
      <name val="Calibri"/>
      <family val="2"/>
      <scheme val="minor"/>
    </font>
    <font>
      <sz val="12"/>
      <color theme="1"/>
      <name val="Garamond"/>
      <family val="1"/>
    </font>
    <font>
      <b/>
      <sz val="12"/>
      <color theme="0"/>
      <name val="Garamond"/>
      <family val="1"/>
    </font>
    <font>
      <sz val="10"/>
      <color theme="1"/>
      <name val="Garamond"/>
      <family val="1"/>
    </font>
    <font>
      <b/>
      <sz val="14"/>
      <color theme="0"/>
      <name val="Garamond"/>
      <family val="1"/>
    </font>
    <font>
      <sz val="14"/>
      <color theme="1"/>
      <name val="Garamond"/>
      <family val="1"/>
    </font>
    <font>
      <b/>
      <sz val="14"/>
      <color theme="0"/>
      <name val="Calibri"/>
      <family val="2"/>
      <scheme val="minor"/>
    </font>
    <font>
      <b/>
      <sz val="12"/>
      <color theme="1"/>
      <name val="Garamond"/>
      <family val="1"/>
    </font>
    <font>
      <sz val="12"/>
      <color rgb="FFCDFFFF"/>
      <name val="Garamond"/>
      <family val="1"/>
    </font>
    <font>
      <sz val="11"/>
      <color rgb="FFFF0000"/>
      <name val="Garamond"/>
      <family val="1"/>
    </font>
    <font>
      <sz val="11"/>
      <name val="Garamond"/>
      <family val="1"/>
    </font>
    <font>
      <b/>
      <sz val="11"/>
      <color rgb="FFFF0000"/>
      <name val="Calibri"/>
      <family val="2"/>
      <scheme val="minor"/>
    </font>
    <font>
      <b/>
      <sz val="26"/>
      <color theme="0"/>
      <name val="Garamond"/>
      <family val="1"/>
    </font>
    <font>
      <sz val="11"/>
      <color theme="0"/>
      <name val="Garamond"/>
      <family val="1"/>
    </font>
    <font>
      <sz val="12"/>
      <color theme="0"/>
      <name val="Garamond"/>
      <family val="1"/>
    </font>
    <font>
      <b/>
      <sz val="11"/>
      <color theme="0"/>
      <name val="Garamond"/>
      <family val="1"/>
    </font>
  </fonts>
  <fills count="12">
    <fill>
      <patternFill patternType="none"/>
    </fill>
    <fill>
      <patternFill patternType="gray125"/>
    </fill>
    <fill>
      <patternFill patternType="solid">
        <fgColor rgb="FFF2F2F2"/>
      </patternFill>
    </fill>
    <fill>
      <patternFill patternType="solid">
        <fgColor rgb="FFFFC7CE"/>
      </patternFill>
    </fill>
    <fill>
      <patternFill patternType="solid">
        <fgColor theme="0" tint="-0.249977111117893"/>
        <bgColor indexed="64"/>
      </patternFill>
    </fill>
    <fill>
      <patternFill patternType="solid">
        <fgColor rgb="FF009999"/>
        <bgColor indexed="64"/>
      </patternFill>
    </fill>
    <fill>
      <patternFill patternType="solid">
        <fgColor theme="0"/>
        <bgColor indexed="64"/>
      </patternFill>
    </fill>
    <fill>
      <patternFill patternType="solid">
        <fgColor rgb="FFCDFFFF"/>
        <bgColor indexed="64"/>
      </patternFill>
    </fill>
    <fill>
      <patternFill patternType="solid">
        <fgColor rgb="FFFF0000"/>
        <bgColor indexed="64"/>
      </patternFill>
    </fill>
    <fill>
      <patternFill patternType="solid">
        <fgColor rgb="FFFFCC99"/>
        <bgColor indexed="64"/>
      </patternFill>
    </fill>
    <fill>
      <patternFill patternType="solid">
        <fgColor theme="2" tint="-0.249977111117893"/>
        <bgColor indexed="64"/>
      </patternFill>
    </fill>
    <fill>
      <patternFill patternType="solid">
        <fgColor theme="6"/>
        <bgColor indexed="64"/>
      </patternFill>
    </fill>
  </fills>
  <borders count="125">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rgb="FF7F7F7F"/>
      </right>
      <top/>
      <bottom/>
      <diagonal/>
    </border>
    <border>
      <left style="thin">
        <color rgb="FF7F7F7F"/>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rgb="FF7F7F7F"/>
      </left>
      <right style="thin">
        <color rgb="FF7F7F7F"/>
      </right>
      <top style="thin">
        <color rgb="FF7F7F7F"/>
      </top>
      <bottom style="medium">
        <color indexed="64"/>
      </bottom>
      <diagonal/>
    </border>
    <border>
      <left/>
      <right/>
      <top/>
      <bottom style="medium">
        <color indexed="64"/>
      </bottom>
      <diagonal/>
    </border>
    <border>
      <left style="thin">
        <color rgb="FF7F7F7F"/>
      </left>
      <right style="medium">
        <color indexed="64"/>
      </right>
      <top style="thin">
        <color rgb="FF7F7F7F"/>
      </top>
      <bottom style="medium">
        <color indexed="64"/>
      </bottom>
      <diagonal/>
    </border>
    <border>
      <left/>
      <right/>
      <top style="thin">
        <color rgb="FF7F7F7F"/>
      </top>
      <bottom/>
      <diagonal/>
    </border>
    <border>
      <left/>
      <right/>
      <top/>
      <bottom style="thin">
        <color rgb="FF7F7F7F"/>
      </bottom>
      <diagonal/>
    </border>
    <border>
      <left/>
      <right/>
      <top style="thin">
        <color indexed="64"/>
      </top>
      <bottom style="thin">
        <color indexed="64"/>
      </bottom>
      <diagonal/>
    </border>
    <border>
      <left/>
      <right style="thin">
        <color rgb="FF7F7F7F"/>
      </right>
      <top style="thin">
        <color rgb="FF7F7F7F"/>
      </top>
      <bottom style="thin">
        <color rgb="FF7F7F7F"/>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rgb="FF7F7F7F"/>
      </top>
      <bottom style="thin">
        <color rgb="FF7F7F7F"/>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rgb="FF7F7F7F"/>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rgb="FF7F7F7F"/>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rgb="FFCDFFFF"/>
      </left>
      <right/>
      <top/>
      <bottom/>
      <diagonal/>
    </border>
    <border>
      <left/>
      <right style="medium">
        <color rgb="FFCDFFFF"/>
      </right>
      <top/>
      <bottom/>
      <diagonal/>
    </border>
    <border>
      <left style="thick">
        <color rgb="FFCDFFFF"/>
      </left>
      <right style="thick">
        <color rgb="FFCDFFFF"/>
      </right>
      <top style="thick">
        <color rgb="FFCDFFFF"/>
      </top>
      <bottom style="thick">
        <color rgb="FFCDFFFF"/>
      </bottom>
      <diagonal/>
    </border>
    <border>
      <left style="thick">
        <color rgb="FFCDFFFF"/>
      </left>
      <right/>
      <top style="thick">
        <color rgb="FFCDFFFF"/>
      </top>
      <bottom style="thick">
        <color rgb="FFCDFFFF"/>
      </bottom>
      <diagonal/>
    </border>
    <border>
      <left/>
      <right style="thick">
        <color rgb="FFCDFFFF"/>
      </right>
      <top style="thick">
        <color rgb="FFCDFFFF"/>
      </top>
      <bottom style="thick">
        <color rgb="FFCDFFFF"/>
      </bottom>
      <diagonal/>
    </border>
    <border>
      <left/>
      <right/>
      <top style="thick">
        <color rgb="FFCDFFFF"/>
      </top>
      <bottom style="thick">
        <color rgb="FFCDFFFF"/>
      </bottom>
      <diagonal/>
    </border>
    <border>
      <left/>
      <right/>
      <top style="thick">
        <color rgb="FFCDFFFF"/>
      </top>
      <bottom/>
      <diagonal/>
    </border>
    <border>
      <left style="thick">
        <color rgb="FFCDFFFF"/>
      </left>
      <right style="thick">
        <color rgb="FFCDFFFF"/>
      </right>
      <top style="thick">
        <color rgb="FFCDFFFF"/>
      </top>
      <bottom/>
      <diagonal/>
    </border>
    <border>
      <left style="thick">
        <color rgb="FFCDFFFF"/>
      </left>
      <right/>
      <top style="thick">
        <color rgb="FFCDFFFF"/>
      </top>
      <bottom/>
      <diagonal/>
    </border>
    <border>
      <left/>
      <right style="thick">
        <color rgb="FFCDFFFF"/>
      </right>
      <top style="thick">
        <color rgb="FFCDFFFF"/>
      </top>
      <bottom/>
      <diagonal/>
    </border>
    <border>
      <left style="thick">
        <color rgb="FFCDFFFF"/>
      </left>
      <right style="thick">
        <color rgb="FFCDFFFF"/>
      </right>
      <top/>
      <bottom style="thick">
        <color rgb="FFCDFFFF"/>
      </bottom>
      <diagonal/>
    </border>
    <border>
      <left style="thick">
        <color rgb="FFCDFFFF"/>
      </left>
      <right/>
      <top/>
      <bottom style="thick">
        <color rgb="FFCDFFFF"/>
      </bottom>
      <diagonal/>
    </border>
    <border>
      <left/>
      <right style="thick">
        <color rgb="FFCDFFFF"/>
      </right>
      <top/>
      <bottom style="thick">
        <color rgb="FFCDFFFF"/>
      </bottom>
      <diagonal/>
    </border>
    <border>
      <left style="medium">
        <color rgb="FFCDFFFF"/>
      </left>
      <right style="medium">
        <color rgb="FFCDFFFF"/>
      </right>
      <top/>
      <bottom/>
      <diagonal/>
    </border>
    <border>
      <left style="thick">
        <color rgb="FFCDFFFF"/>
      </left>
      <right/>
      <top/>
      <bottom/>
      <diagonal/>
    </border>
    <border>
      <left/>
      <right/>
      <top/>
      <bottom style="thick">
        <color rgb="FFCDFFFF"/>
      </bottom>
      <diagonal/>
    </border>
    <border>
      <left style="thick">
        <color rgb="FFCDFFFF"/>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ck">
        <color rgb="FFCDFFFF"/>
      </right>
      <top style="thin">
        <color theme="1"/>
      </top>
      <bottom style="thin">
        <color theme="1"/>
      </bottom>
      <diagonal/>
    </border>
    <border>
      <left/>
      <right style="thick">
        <color rgb="FFCDFFFF"/>
      </right>
      <top/>
      <bottom/>
      <diagonal/>
    </border>
    <border>
      <left style="thick">
        <color rgb="FFCDFFFF"/>
      </left>
      <right/>
      <top style="thick">
        <color rgb="FFCDFFFF"/>
      </top>
      <bottom style="thin">
        <color indexed="64"/>
      </bottom>
      <diagonal/>
    </border>
    <border>
      <left/>
      <right/>
      <top style="thick">
        <color rgb="FFCDFFFF"/>
      </top>
      <bottom style="thin">
        <color indexed="64"/>
      </bottom>
      <diagonal/>
    </border>
    <border>
      <left/>
      <right style="thick">
        <color rgb="FFCDFFFF"/>
      </right>
      <top style="thick">
        <color rgb="FFCDFFFF"/>
      </top>
      <bottom style="thin">
        <color indexed="64"/>
      </bottom>
      <diagonal/>
    </border>
    <border>
      <left style="thick">
        <color rgb="FFCDFFFF"/>
      </left>
      <right style="thin">
        <color indexed="64"/>
      </right>
      <top style="thin">
        <color indexed="64"/>
      </top>
      <bottom style="thin">
        <color indexed="64"/>
      </bottom>
      <diagonal/>
    </border>
    <border>
      <left style="thin">
        <color indexed="64"/>
      </left>
      <right style="thick">
        <color rgb="FFCDFFFF"/>
      </right>
      <top style="thin">
        <color indexed="64"/>
      </top>
      <bottom style="thin">
        <color indexed="64"/>
      </bottom>
      <diagonal/>
    </border>
    <border>
      <left style="thick">
        <color rgb="FFCDFFFF"/>
      </left>
      <right/>
      <top style="thin">
        <color indexed="64"/>
      </top>
      <bottom style="thick">
        <color rgb="FFCDFFFF"/>
      </bottom>
      <diagonal/>
    </border>
    <border>
      <left/>
      <right/>
      <top style="thin">
        <color indexed="64"/>
      </top>
      <bottom style="thick">
        <color rgb="FFCDFFFF"/>
      </bottom>
      <diagonal/>
    </border>
    <border>
      <left/>
      <right style="thick">
        <color rgb="FFCDFFFF"/>
      </right>
      <top style="thin">
        <color indexed="64"/>
      </top>
      <bottom style="thick">
        <color rgb="FFCDFFFF"/>
      </bottom>
      <diagonal/>
    </border>
    <border>
      <left style="thick">
        <color rgb="FFCDFFFF"/>
      </left>
      <right/>
      <top style="thick">
        <color rgb="FFCDFFFF"/>
      </top>
      <bottom style="thin">
        <color theme="1"/>
      </bottom>
      <diagonal/>
    </border>
    <border>
      <left/>
      <right/>
      <top style="thick">
        <color rgb="FFCDFFFF"/>
      </top>
      <bottom style="thin">
        <color theme="1"/>
      </bottom>
      <diagonal/>
    </border>
    <border>
      <left/>
      <right style="thick">
        <color rgb="FFCDFFFF"/>
      </right>
      <top style="thick">
        <color rgb="FFCDFFFF"/>
      </top>
      <bottom style="thin">
        <color theme="1"/>
      </bottom>
      <diagonal/>
    </border>
    <border>
      <left style="thick">
        <color rgb="FFCDFFFF"/>
      </left>
      <right/>
      <top style="thin">
        <color theme="1"/>
      </top>
      <bottom style="thick">
        <color rgb="FFCDFFFF"/>
      </bottom>
      <diagonal/>
    </border>
    <border>
      <left/>
      <right/>
      <top style="thin">
        <color theme="1"/>
      </top>
      <bottom style="thick">
        <color rgb="FFCDFFFF"/>
      </bottom>
      <diagonal/>
    </border>
    <border>
      <left/>
      <right style="thick">
        <color rgb="FFCDFFFF"/>
      </right>
      <top style="thin">
        <color theme="1"/>
      </top>
      <bottom style="thick">
        <color rgb="FFCDFFFF"/>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top/>
      <bottom style="thin">
        <color indexed="64"/>
      </bottom>
      <diagonal/>
    </border>
    <border>
      <left style="medium">
        <color indexed="64"/>
      </left>
      <right style="thin">
        <color rgb="FF7F7F7F"/>
      </right>
      <top style="thin">
        <color indexed="64"/>
      </top>
      <bottom style="thin">
        <color indexed="64"/>
      </bottom>
      <diagonal/>
    </border>
    <border>
      <left style="medium">
        <color indexed="64"/>
      </left>
      <right/>
      <top style="thin">
        <color indexed="64"/>
      </top>
      <bottom/>
      <diagonal/>
    </border>
    <border>
      <left style="medium">
        <color indexed="64"/>
      </left>
      <right style="thin">
        <color rgb="FF7F7F7F"/>
      </right>
      <top style="thin">
        <color indexed="64"/>
      </top>
      <bottom/>
      <diagonal/>
    </border>
    <border>
      <left style="medium">
        <color indexed="64"/>
      </left>
      <right style="thin">
        <color rgb="FF7F7F7F"/>
      </right>
      <top/>
      <bottom/>
      <diagonal/>
    </border>
    <border>
      <left style="medium">
        <color indexed="64"/>
      </left>
      <right style="thin">
        <color rgb="FF7F7F7F"/>
      </right>
      <top/>
      <bottom style="thin">
        <color indexed="64"/>
      </bottom>
      <diagonal/>
    </border>
    <border>
      <left style="medium">
        <color indexed="64"/>
      </left>
      <right style="thin">
        <color rgb="FF7F7F7F"/>
      </right>
      <top style="medium">
        <color indexed="64"/>
      </top>
      <bottom style="thin">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diagonal/>
    </border>
    <border>
      <left style="thin">
        <color rgb="FF7F7F7F"/>
      </left>
      <right style="thin">
        <color rgb="FF7F7F7F"/>
      </right>
      <top/>
      <bottom/>
      <diagonal/>
    </border>
    <border>
      <left style="thin">
        <color rgb="FF7F7F7F"/>
      </left>
      <right style="thin">
        <color rgb="FF7F7F7F"/>
      </right>
      <top/>
      <bottom style="thin">
        <color rgb="FF7F7F7F"/>
      </bottom>
      <diagonal/>
    </border>
    <border>
      <left style="thin">
        <color rgb="FF7F7F7F"/>
      </left>
      <right style="medium">
        <color indexed="64"/>
      </right>
      <top style="thin">
        <color rgb="FF7F7F7F"/>
      </top>
      <bottom/>
      <diagonal/>
    </border>
    <border>
      <left style="thin">
        <color rgb="FF7F7F7F"/>
      </left>
      <right style="medium">
        <color indexed="64"/>
      </right>
      <top/>
      <bottom style="thin">
        <color rgb="FF7F7F7F"/>
      </bottom>
      <diagonal/>
    </border>
    <border>
      <left style="thin">
        <color rgb="FF7F7F7F"/>
      </left>
      <right style="medium">
        <color indexed="64"/>
      </right>
      <top/>
      <bottom/>
      <diagonal/>
    </border>
    <border>
      <left style="medium">
        <color indexed="64"/>
      </left>
      <right style="medium">
        <color indexed="64"/>
      </right>
      <top/>
      <bottom style="medium">
        <color indexed="64"/>
      </bottom>
      <diagonal/>
    </border>
    <border>
      <left/>
      <right/>
      <top style="thin">
        <color rgb="FF7F7F7F"/>
      </top>
      <bottom style="thin">
        <color rgb="FF7F7F7F"/>
      </bottom>
      <diagonal/>
    </border>
    <border>
      <left/>
      <right style="medium">
        <color indexed="64"/>
      </right>
      <top style="medium">
        <color indexed="64"/>
      </top>
      <bottom style="thin">
        <color rgb="FF7F7F7F"/>
      </bottom>
      <diagonal/>
    </border>
    <border>
      <left/>
      <right style="medium">
        <color indexed="64"/>
      </right>
      <top style="thin">
        <color rgb="FF7F7F7F"/>
      </top>
      <bottom/>
      <diagonal/>
    </border>
    <border>
      <left/>
      <right style="medium">
        <color indexed="64"/>
      </right>
      <top/>
      <bottom style="thin">
        <color rgb="FF7F7F7F"/>
      </bottom>
      <diagonal/>
    </border>
    <border>
      <left/>
      <right style="medium">
        <color indexed="64"/>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7F7F7F"/>
      </left>
      <right/>
      <top style="medium">
        <color indexed="64"/>
      </top>
      <bottom/>
      <diagonal/>
    </border>
    <border>
      <left/>
      <right/>
      <top style="medium">
        <color indexed="64"/>
      </top>
      <bottom style="thin">
        <color indexed="64"/>
      </bottom>
      <diagonal/>
    </border>
    <border>
      <left/>
      <right/>
      <top style="thick">
        <color indexed="64"/>
      </top>
      <bottom/>
      <diagonal/>
    </border>
    <border>
      <left/>
      <right/>
      <top/>
      <bottom style="thick">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thick">
        <color rgb="FF0070C0"/>
      </left>
      <right style="thick">
        <color rgb="FF0070C0"/>
      </right>
      <top style="thick">
        <color rgb="FF0070C0"/>
      </top>
      <bottom style="thick">
        <color rgb="FF0070C0"/>
      </bottom>
      <diagonal/>
    </border>
    <border>
      <left style="thick">
        <color rgb="FFCDFFFF"/>
      </left>
      <right/>
      <top/>
      <bottom style="thin">
        <color theme="1"/>
      </bottom>
      <diagonal/>
    </border>
    <border>
      <left/>
      <right/>
      <top/>
      <bottom style="thin">
        <color theme="1"/>
      </bottom>
      <diagonal/>
    </border>
    <border>
      <left/>
      <right style="thick">
        <color rgb="FFCDFFFF"/>
      </right>
      <top/>
      <bottom style="thin">
        <color theme="1"/>
      </bottom>
      <diagonal/>
    </border>
    <border>
      <left style="thick">
        <color theme="8"/>
      </left>
      <right style="thick">
        <color theme="8"/>
      </right>
      <top style="thick">
        <color theme="8"/>
      </top>
      <bottom style="thick">
        <color theme="8"/>
      </bottom>
      <diagonal/>
    </border>
    <border>
      <left style="thick">
        <color theme="8"/>
      </left>
      <right style="thick">
        <color rgb="FFCDFFFF"/>
      </right>
      <top style="thick">
        <color theme="8"/>
      </top>
      <bottom style="thick">
        <color rgb="FFCDFFFF"/>
      </bottom>
      <diagonal/>
    </border>
    <border>
      <left style="thick">
        <color rgb="FFCDFFFF"/>
      </left>
      <right style="thick">
        <color rgb="FFCDFFFF"/>
      </right>
      <top style="thick">
        <color theme="8"/>
      </top>
      <bottom style="thick">
        <color rgb="FFCDFFFF"/>
      </bottom>
      <diagonal/>
    </border>
    <border>
      <left style="thick">
        <color rgb="FFCDFFFF"/>
      </left>
      <right style="thick">
        <color theme="8"/>
      </right>
      <top style="thick">
        <color theme="8"/>
      </top>
      <bottom style="thick">
        <color rgb="FFCDFFFF"/>
      </bottom>
      <diagonal/>
    </border>
    <border>
      <left style="thick">
        <color theme="8"/>
      </left>
      <right style="thick">
        <color rgb="FFCDFFFF"/>
      </right>
      <top style="thick">
        <color rgb="FFCDFFFF"/>
      </top>
      <bottom style="thick">
        <color rgb="FFCDFFFF"/>
      </bottom>
      <diagonal/>
    </border>
    <border>
      <left style="thick">
        <color rgb="FFCDFFFF"/>
      </left>
      <right style="thick">
        <color theme="8"/>
      </right>
      <top style="thick">
        <color rgb="FFCDFFFF"/>
      </top>
      <bottom style="thick">
        <color rgb="FFCDFFFF"/>
      </bottom>
      <diagonal/>
    </border>
    <border>
      <left style="thick">
        <color theme="8"/>
      </left>
      <right style="thick">
        <color rgb="FFCDFFFF"/>
      </right>
      <top style="thick">
        <color rgb="FFCDFFFF"/>
      </top>
      <bottom style="thick">
        <color theme="8"/>
      </bottom>
      <diagonal/>
    </border>
    <border>
      <left style="thick">
        <color rgb="FFCDFFFF"/>
      </left>
      <right style="thick">
        <color rgb="FFCDFFFF"/>
      </right>
      <top style="thick">
        <color rgb="FFCDFFFF"/>
      </top>
      <bottom style="thick">
        <color theme="8"/>
      </bottom>
      <diagonal/>
    </border>
    <border>
      <left style="thick">
        <color rgb="FFCDFFFF"/>
      </left>
      <right style="thick">
        <color theme="8"/>
      </right>
      <top style="thick">
        <color rgb="FFCDFFFF"/>
      </top>
      <bottom style="thick">
        <color theme="8"/>
      </bottom>
      <diagonal/>
    </border>
    <border>
      <left style="thick">
        <color rgb="FFCDFFFF"/>
      </left>
      <right style="thick">
        <color rgb="FFCDFFFF"/>
      </right>
      <top/>
      <bottom/>
      <diagonal/>
    </border>
    <border>
      <left style="thick">
        <color theme="8"/>
      </left>
      <right style="thick">
        <color rgb="FFCDFFFF"/>
      </right>
      <top style="thick">
        <color theme="8"/>
      </top>
      <bottom style="thick">
        <color theme="8"/>
      </bottom>
      <diagonal/>
    </border>
    <border>
      <left style="thick">
        <color rgb="FFCDFFFF"/>
      </left>
      <right style="thick">
        <color rgb="FFCDFFFF"/>
      </right>
      <top style="thick">
        <color theme="8"/>
      </top>
      <bottom style="thick">
        <color theme="8"/>
      </bottom>
      <diagonal/>
    </border>
    <border>
      <left style="thick">
        <color rgb="FFCDFFFF"/>
      </left>
      <right style="thick">
        <color theme="8"/>
      </right>
      <top style="thick">
        <color theme="8"/>
      </top>
      <bottom style="thick">
        <color theme="8"/>
      </bottom>
      <diagonal/>
    </border>
    <border>
      <left style="thick">
        <color theme="8"/>
      </left>
      <right style="thick">
        <color rgb="FF0070C0"/>
      </right>
      <top style="thick">
        <color rgb="FF0070C0"/>
      </top>
      <bottom style="thick">
        <color rgb="FF0070C0"/>
      </bottom>
      <diagonal/>
    </border>
    <border>
      <left/>
      <right style="thick">
        <color rgb="FFCDFFFF"/>
      </right>
      <top style="thick">
        <color rgb="FFCDFFFF"/>
      </top>
      <bottom style="thick">
        <color theme="8"/>
      </bottom>
      <diagonal/>
    </border>
    <border>
      <left style="thick">
        <color rgb="FFCDFFFF"/>
      </left>
      <right/>
      <top style="thick">
        <color rgb="FFCDFFFF"/>
      </top>
      <bottom style="thick">
        <color theme="8"/>
      </bottom>
      <diagonal/>
    </border>
    <border>
      <left/>
      <right/>
      <top style="thick">
        <color rgb="FFCDFFFF"/>
      </top>
      <bottom style="thick">
        <color theme="8"/>
      </bottom>
      <diagonal/>
    </border>
    <border>
      <left style="medium">
        <color indexed="64"/>
      </left>
      <right style="medium">
        <color indexed="64"/>
      </right>
      <top style="thin">
        <color rgb="FF7F7F7F"/>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1" fillId="9" borderId="1" applyNumberFormat="0" applyAlignment="0" applyProtection="0"/>
    <xf numFmtId="0" fontId="2" fillId="2" borderId="1" applyNumberFormat="0" applyAlignment="0" applyProtection="0"/>
    <xf numFmtId="0" fontId="10" fillId="0" borderId="0" applyNumberFormat="0" applyFill="0" applyBorder="0" applyAlignment="0" applyProtection="0"/>
    <xf numFmtId="0" fontId="12" fillId="3" borderId="0" applyNumberFormat="0" applyBorder="0" applyAlignment="0" applyProtection="0"/>
  </cellStyleXfs>
  <cellXfs count="536">
    <xf numFmtId="0" fontId="0" fillId="0" borderId="0" xfId="0"/>
    <xf numFmtId="0" fontId="0" fillId="0" borderId="2" xfId="0" applyBorder="1"/>
    <xf numFmtId="0" fontId="3" fillId="0" borderId="0" xfId="0" applyFont="1"/>
    <xf numFmtId="0" fontId="5" fillId="0" borderId="0" xfId="0" applyFont="1"/>
    <xf numFmtId="0" fontId="7" fillId="2" borderId="1" xfId="2" applyFont="1"/>
    <xf numFmtId="0" fontId="7" fillId="2" borderId="1" xfId="2" applyFont="1" applyAlignment="1">
      <alignment wrapText="1"/>
    </xf>
    <xf numFmtId="0" fontId="5" fillId="0" borderId="0" xfId="0" applyFont="1" applyAlignment="1">
      <alignment horizontal="center"/>
    </xf>
    <xf numFmtId="0" fontId="8" fillId="0" borderId="0" xfId="0" applyFont="1"/>
    <xf numFmtId="0" fontId="8" fillId="0" borderId="0" xfId="0" applyFont="1" applyAlignment="1">
      <alignment horizontal="center"/>
    </xf>
    <xf numFmtId="0" fontId="8" fillId="0" borderId="0" xfId="0" applyFont="1" applyAlignment="1">
      <alignment horizontal="center"/>
    </xf>
    <xf numFmtId="0" fontId="0" fillId="0" borderId="4" xfId="0" applyBorder="1"/>
    <xf numFmtId="0" fontId="5" fillId="0" borderId="0" xfId="0" applyFont="1" applyAlignment="1">
      <alignment wrapText="1"/>
    </xf>
    <xf numFmtId="0" fontId="8" fillId="0" borderId="0" xfId="0" applyFont="1" applyAlignment="1">
      <alignment wrapText="1"/>
    </xf>
    <xf numFmtId="0" fontId="4" fillId="0" borderId="0" xfId="0" applyFont="1" applyAlignment="1">
      <alignment horizontal="center" wrapText="1"/>
    </xf>
    <xf numFmtId="0" fontId="8" fillId="0" borderId="0" xfId="0" applyFont="1" applyBorder="1" applyAlignment="1">
      <alignment wrapText="1"/>
    </xf>
    <xf numFmtId="0" fontId="8" fillId="0" borderId="3" xfId="0" applyFont="1" applyBorder="1" applyAlignment="1">
      <alignment wrapText="1"/>
    </xf>
    <xf numFmtId="0" fontId="5" fillId="0" borderId="2" xfId="0" applyFont="1" applyBorder="1" applyAlignment="1">
      <alignment wrapText="1"/>
    </xf>
    <xf numFmtId="0" fontId="5" fillId="0" borderId="0" xfId="0" applyFont="1" applyBorder="1" applyAlignment="1">
      <alignment horizontal="left" vertical="top" wrapText="1"/>
    </xf>
    <xf numFmtId="0" fontId="8" fillId="0" borderId="0" xfId="0" applyFont="1" applyAlignment="1">
      <alignment vertical="top" wrapText="1"/>
    </xf>
    <xf numFmtId="0" fontId="7" fillId="2" borderId="1" xfId="2" applyFont="1" applyAlignment="1">
      <alignment horizontal="center"/>
    </xf>
    <xf numFmtId="0" fontId="2" fillId="2" borderId="1" xfId="2" applyAlignment="1">
      <alignment horizontal="center"/>
    </xf>
    <xf numFmtId="0" fontId="0" fillId="0" borderId="2" xfId="0" applyFill="1" applyBorder="1"/>
    <xf numFmtId="0" fontId="10" fillId="0" borderId="0" xfId="3" applyAlignment="1">
      <alignment horizontal="right"/>
    </xf>
    <xf numFmtId="0" fontId="6" fillId="9" borderId="1" xfId="1" applyFont="1" applyProtection="1">
      <protection locked="0"/>
    </xf>
    <xf numFmtId="0" fontId="6" fillId="9" borderId="1" xfId="1" applyFont="1" applyAlignment="1" applyProtection="1">
      <alignment horizontal="center"/>
      <protection locked="0"/>
    </xf>
    <xf numFmtId="0" fontId="7" fillId="2" borderId="2" xfId="2" applyFont="1" applyBorder="1" applyAlignment="1">
      <alignment horizontal="center"/>
    </xf>
    <xf numFmtId="0" fontId="7" fillId="2" borderId="1" xfId="2" applyFont="1" applyAlignment="1">
      <alignment horizontal="left" indent="1"/>
    </xf>
    <xf numFmtId="0" fontId="7" fillId="2" borderId="1" xfId="2" applyFont="1" applyAlignment="1">
      <alignment horizontal="center" vertical="center" wrapText="1"/>
    </xf>
    <xf numFmtId="0" fontId="1" fillId="9" borderId="11" xfId="1" applyBorder="1" applyAlignment="1">
      <alignment horizontal="center"/>
    </xf>
    <xf numFmtId="0" fontId="8" fillId="0" borderId="0" xfId="0" applyFont="1" applyAlignment="1"/>
    <xf numFmtId="0" fontId="5" fillId="0" borderId="0" xfId="0" applyFont="1" applyAlignment="1">
      <alignment vertical="top"/>
    </xf>
    <xf numFmtId="0" fontId="7" fillId="2" borderId="1" xfId="2" applyFont="1" applyAlignment="1">
      <alignment horizontal="center" vertical="center"/>
    </xf>
    <xf numFmtId="0" fontId="5" fillId="0" borderId="2" xfId="0" applyFont="1" applyBorder="1" applyAlignment="1"/>
    <xf numFmtId="0" fontId="10" fillId="0" borderId="0" xfId="3"/>
    <xf numFmtId="0" fontId="8" fillId="0" borderId="16" xfId="0" applyFont="1" applyBorder="1" applyAlignment="1">
      <alignment wrapText="1"/>
    </xf>
    <xf numFmtId="0" fontId="7" fillId="2" borderId="17" xfId="2" applyFont="1" applyBorder="1" applyAlignment="1">
      <alignment horizontal="center"/>
    </xf>
    <xf numFmtId="0" fontId="8" fillId="0" borderId="18" xfId="0" applyFont="1" applyBorder="1" applyAlignment="1">
      <alignment horizontal="center"/>
    </xf>
    <xf numFmtId="0" fontId="5" fillId="0" borderId="19" xfId="0" applyFont="1" applyBorder="1"/>
    <xf numFmtId="0" fontId="6" fillId="9" borderId="20" xfId="1" applyFont="1" applyBorder="1" applyProtection="1">
      <protection locked="0"/>
    </xf>
    <xf numFmtId="0" fontId="1" fillId="9" borderId="20" xfId="1" applyBorder="1" applyProtection="1">
      <protection locked="0"/>
    </xf>
    <xf numFmtId="0" fontId="7" fillId="2" borderId="20" xfId="2" applyFont="1" applyBorder="1" applyAlignment="1">
      <alignment wrapText="1"/>
    </xf>
    <xf numFmtId="0" fontId="6" fillId="9" borderId="21" xfId="1" applyFont="1" applyBorder="1" applyProtection="1">
      <protection locked="0"/>
    </xf>
    <xf numFmtId="0" fontId="6" fillId="9" borderId="22" xfId="1" applyFont="1" applyBorder="1" applyProtection="1">
      <protection locked="0"/>
    </xf>
    <xf numFmtId="0" fontId="5" fillId="0" borderId="0" xfId="0" applyFont="1" applyBorder="1" applyAlignment="1">
      <alignment horizontal="center"/>
    </xf>
    <xf numFmtId="0" fontId="5" fillId="0" borderId="24" xfId="0" applyFont="1" applyBorder="1"/>
    <xf numFmtId="0" fontId="6" fillId="9" borderId="25" xfId="1" applyFont="1" applyBorder="1" applyAlignment="1" applyProtection="1">
      <alignment horizontal="center"/>
      <protection locked="0"/>
    </xf>
    <xf numFmtId="0" fontId="7" fillId="2" borderId="1" xfId="2" applyFont="1" applyBorder="1" applyAlignment="1">
      <alignment horizontal="center"/>
    </xf>
    <xf numFmtId="0" fontId="6" fillId="9" borderId="26" xfId="1" applyFont="1" applyBorder="1" applyAlignment="1" applyProtection="1">
      <alignment horizontal="center"/>
      <protection locked="0"/>
    </xf>
    <xf numFmtId="0" fontId="7" fillId="2" borderId="11" xfId="2" applyFont="1" applyBorder="1" applyAlignment="1">
      <alignment horizontal="center"/>
    </xf>
    <xf numFmtId="0" fontId="2" fillId="2" borderId="20" xfId="2" applyBorder="1"/>
    <xf numFmtId="0" fontId="7" fillId="2" borderId="20" xfId="2" applyFont="1" applyBorder="1"/>
    <xf numFmtId="0" fontId="2" fillId="2" borderId="20" xfId="2" applyBorder="1" applyAlignment="1">
      <alignment wrapText="1"/>
    </xf>
    <xf numFmtId="0" fontId="7" fillId="2" borderId="22" xfId="2" applyFont="1" applyBorder="1"/>
    <xf numFmtId="0" fontId="8" fillId="0" borderId="23" xfId="0" applyFont="1" applyBorder="1" applyAlignment="1"/>
    <xf numFmtId="0" fontId="8" fillId="0" borderId="23" xfId="0" applyFont="1" applyBorder="1" applyAlignment="1">
      <alignment horizontal="center"/>
    </xf>
    <xf numFmtId="0" fontId="8" fillId="0" borderId="28" xfId="0" applyFont="1" applyBorder="1" applyAlignment="1">
      <alignment wrapText="1"/>
    </xf>
    <xf numFmtId="0" fontId="5" fillId="4" borderId="23" xfId="0" applyFont="1" applyFill="1" applyBorder="1" applyAlignment="1">
      <alignment horizontal="center"/>
    </xf>
    <xf numFmtId="0" fontId="5" fillId="4" borderId="0" xfId="0" applyFont="1" applyFill="1" applyBorder="1" applyAlignment="1">
      <alignment horizontal="center"/>
    </xf>
    <xf numFmtId="0" fontId="5" fillId="4" borderId="24" xfId="0" applyFont="1" applyFill="1" applyBorder="1"/>
    <xf numFmtId="0" fontId="8" fillId="0" borderId="0" xfId="0" applyFont="1" applyBorder="1" applyAlignment="1">
      <alignment horizontal="center"/>
    </xf>
    <xf numFmtId="0" fontId="8" fillId="0" borderId="24" xfId="0" applyFont="1" applyBorder="1"/>
    <xf numFmtId="0" fontId="5" fillId="0" borderId="24" xfId="0" applyFont="1" applyBorder="1" applyAlignment="1">
      <alignment horizontal="center"/>
    </xf>
    <xf numFmtId="0" fontId="5" fillId="4" borderId="24" xfId="0" applyFont="1" applyFill="1" applyBorder="1" applyAlignment="1">
      <alignment horizontal="center"/>
    </xf>
    <xf numFmtId="0" fontId="5" fillId="0" borderId="27" xfId="0" applyFont="1" applyBorder="1" applyAlignment="1">
      <alignment horizontal="center"/>
    </xf>
    <xf numFmtId="0" fontId="5" fillId="0" borderId="0" xfId="0" applyFont="1" applyAlignment="1">
      <alignment horizontal="left"/>
    </xf>
    <xf numFmtId="0" fontId="15" fillId="0" borderId="0" xfId="0" applyFont="1"/>
    <xf numFmtId="0" fontId="15" fillId="0" borderId="0" xfId="0" applyFont="1" applyAlignment="1">
      <alignment horizontal="center"/>
    </xf>
    <xf numFmtId="0" fontId="18" fillId="5" borderId="31" xfId="0" applyFont="1" applyFill="1" applyBorder="1" applyAlignment="1">
      <alignment horizontal="center" vertical="center"/>
    </xf>
    <xf numFmtId="0" fontId="15" fillId="0" borderId="31" xfId="0" applyFont="1" applyBorder="1" applyAlignment="1">
      <alignment horizontal="center" vertical="center"/>
    </xf>
    <xf numFmtId="0" fontId="18" fillId="5" borderId="31" xfId="0" applyFont="1" applyFill="1" applyBorder="1" applyAlignment="1">
      <alignment horizontal="center" vertical="center" wrapText="1"/>
    </xf>
    <xf numFmtId="0" fontId="12" fillId="3" borderId="0" xfId="4"/>
    <xf numFmtId="0" fontId="12" fillId="3" borderId="0" xfId="4" applyAlignment="1">
      <alignment horizontal="center" vertical="center"/>
    </xf>
    <xf numFmtId="0" fontId="12" fillId="3" borderId="31" xfId="4" applyBorder="1" applyAlignment="1">
      <alignment horizontal="center" vertical="center"/>
    </xf>
    <xf numFmtId="0" fontId="12" fillId="3" borderId="31" xfId="4" applyBorder="1" applyAlignment="1">
      <alignment horizontal="center" vertical="center" wrapText="1"/>
    </xf>
    <xf numFmtId="0" fontId="12" fillId="3" borderId="0" xfId="4" applyBorder="1" applyAlignment="1">
      <alignment horizontal="center" vertical="center"/>
    </xf>
    <xf numFmtId="0" fontId="12" fillId="3" borderId="31" xfId="4" applyBorder="1" applyAlignment="1">
      <alignment horizontal="left" vertical="center"/>
    </xf>
    <xf numFmtId="0" fontId="12" fillId="3" borderId="36" xfId="4" applyBorder="1" applyAlignment="1">
      <alignment horizontal="left" vertical="center"/>
    </xf>
    <xf numFmtId="0" fontId="12" fillId="3" borderId="38" xfId="4" applyBorder="1" applyAlignment="1">
      <alignment horizontal="center"/>
    </xf>
    <xf numFmtId="0" fontId="12" fillId="3" borderId="41" xfId="4" applyBorder="1" applyAlignment="1">
      <alignment horizontal="center"/>
    </xf>
    <xf numFmtId="0" fontId="12" fillId="3" borderId="48" xfId="4" applyBorder="1" applyAlignment="1">
      <alignment horizontal="center"/>
    </xf>
    <xf numFmtId="0" fontId="15" fillId="7" borderId="0" xfId="0" applyFont="1" applyFill="1"/>
    <xf numFmtId="0" fontId="15" fillId="7" borderId="0" xfId="0" applyFont="1" applyFill="1" applyAlignment="1">
      <alignment horizontal="center"/>
    </xf>
    <xf numFmtId="0" fontId="12" fillId="7" borderId="0" xfId="4" applyFill="1"/>
    <xf numFmtId="0" fontId="20" fillId="5" borderId="31" xfId="4" applyFont="1" applyFill="1" applyBorder="1" applyAlignment="1">
      <alignment vertical="center"/>
    </xf>
    <xf numFmtId="0" fontId="16" fillId="5" borderId="31" xfId="0" applyFont="1" applyFill="1" applyBorder="1" applyAlignment="1">
      <alignment horizontal="center" vertical="center"/>
    </xf>
    <xf numFmtId="0" fontId="12" fillId="3" borderId="31" xfId="4" applyBorder="1" applyAlignment="1">
      <alignment vertical="center"/>
    </xf>
    <xf numFmtId="0" fontId="18" fillId="5" borderId="32" xfId="0" applyFont="1" applyFill="1" applyBorder="1" applyAlignment="1">
      <alignment horizontal="center" vertical="center"/>
    </xf>
    <xf numFmtId="0" fontId="17" fillId="7" borderId="0" xfId="0" quotePrefix="1" applyFont="1" applyFill="1" applyBorder="1" applyAlignment="1">
      <alignment horizontal="center" vertical="center" wrapText="1"/>
    </xf>
    <xf numFmtId="0" fontId="12" fillId="3" borderId="31" xfId="4" applyBorder="1" applyAlignment="1" applyProtection="1">
      <alignment horizontal="center" vertical="center" wrapText="1"/>
      <protection locked="0"/>
    </xf>
    <xf numFmtId="0" fontId="15" fillId="0" borderId="31" xfId="0" applyFont="1" applyBorder="1" applyAlignment="1" applyProtection="1">
      <alignment vertical="center"/>
      <protection locked="0"/>
    </xf>
    <xf numFmtId="0" fontId="15" fillId="0" borderId="52" xfId="0" applyFont="1" applyBorder="1" applyAlignment="1" applyProtection="1">
      <alignment vertical="center"/>
      <protection locked="0"/>
    </xf>
    <xf numFmtId="0" fontId="15" fillId="0" borderId="2" xfId="0" applyFont="1" applyBorder="1" applyAlignment="1" applyProtection="1">
      <protection locked="0"/>
    </xf>
    <xf numFmtId="0" fontId="15" fillId="0" borderId="53" xfId="0" applyFont="1" applyBorder="1" applyAlignment="1" applyProtection="1">
      <protection locked="0"/>
    </xf>
    <xf numFmtId="0" fontId="15" fillId="0" borderId="45" xfId="0" applyFont="1" applyBorder="1" applyAlignment="1" applyProtection="1">
      <protection locked="0"/>
    </xf>
    <xf numFmtId="0" fontId="15" fillId="0" borderId="46" xfId="0" applyFont="1" applyBorder="1" applyAlignment="1" applyProtection="1">
      <protection locked="0"/>
    </xf>
    <xf numFmtId="0" fontId="15" fillId="0" borderId="47" xfId="0" applyFont="1" applyBorder="1" applyAlignment="1" applyProtection="1">
      <protection locked="0"/>
    </xf>
    <xf numFmtId="0" fontId="15" fillId="0" borderId="31" xfId="0" applyFont="1" applyBorder="1" applyAlignment="1" applyProtection="1">
      <alignment horizontal="center" vertical="center"/>
      <protection locked="0"/>
    </xf>
    <xf numFmtId="0" fontId="8" fillId="0" borderId="23" xfId="0" applyFont="1" applyBorder="1" applyAlignment="1">
      <alignment horizontal="left"/>
    </xf>
    <xf numFmtId="0" fontId="5" fillId="0" borderId="23" xfId="0" applyFont="1" applyBorder="1"/>
    <xf numFmtId="0" fontId="5" fillId="6" borderId="10" xfId="0" applyFont="1" applyFill="1" applyBorder="1"/>
    <xf numFmtId="0" fontId="5" fillId="6" borderId="12" xfId="0" applyFont="1" applyFill="1" applyBorder="1"/>
    <xf numFmtId="0" fontId="5" fillId="6" borderId="12" xfId="0" applyFont="1" applyFill="1" applyBorder="1" applyAlignment="1">
      <alignment horizontal="center"/>
    </xf>
    <xf numFmtId="0" fontId="15" fillId="0" borderId="52" xfId="0" applyFont="1" applyBorder="1" applyAlignment="1">
      <alignment horizontal="center" vertical="center"/>
    </xf>
    <xf numFmtId="0" fontId="22" fillId="7" borderId="49" xfId="0" applyFont="1" applyFill="1" applyBorder="1" applyAlignment="1">
      <alignment horizontal="center" vertical="center"/>
    </xf>
    <xf numFmtId="0" fontId="22" fillId="7" borderId="50" xfId="0" applyFont="1" applyFill="1" applyBorder="1" applyAlignment="1">
      <alignment horizontal="center" vertical="center"/>
    </xf>
    <xf numFmtId="0" fontId="22" fillId="7" borderId="51" xfId="0" applyFont="1" applyFill="1" applyBorder="1" applyAlignment="1">
      <alignment horizontal="center" vertical="center"/>
    </xf>
    <xf numFmtId="0" fontId="15" fillId="0" borderId="2" xfId="0" applyFont="1" applyBorder="1" applyAlignment="1">
      <alignment horizontal="center" vertical="center"/>
    </xf>
    <xf numFmtId="0" fontId="15" fillId="0" borderId="53" xfId="0" applyFont="1" applyBorder="1" applyAlignment="1">
      <alignment horizontal="center" vertical="center"/>
    </xf>
    <xf numFmtId="0" fontId="8" fillId="0" borderId="72" xfId="0" applyFont="1" applyBorder="1" applyAlignment="1">
      <alignment horizontal="left" vertical="top"/>
    </xf>
    <xf numFmtId="0" fontId="5" fillId="0" borderId="8" xfId="0" applyFont="1" applyBorder="1" applyAlignment="1">
      <alignment horizontal="center" vertical="top"/>
    </xf>
    <xf numFmtId="0" fontId="2" fillId="2" borderId="63" xfId="2" applyBorder="1" applyAlignment="1">
      <alignment horizontal="center" vertical="center"/>
    </xf>
    <xf numFmtId="0" fontId="2" fillId="2" borderId="64" xfId="2" applyBorder="1" applyAlignment="1">
      <alignment horizontal="center" vertical="center"/>
    </xf>
    <xf numFmtId="0" fontId="2" fillId="2" borderId="1" xfId="2" applyBorder="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wrapText="1"/>
    </xf>
    <xf numFmtId="0" fontId="5" fillId="0" borderId="0" xfId="0" applyFont="1" applyBorder="1" applyAlignment="1">
      <alignment vertical="center"/>
    </xf>
    <xf numFmtId="0" fontId="5" fillId="0" borderId="0" xfId="0" applyFont="1" applyBorder="1" applyAlignment="1">
      <alignment horizontal="center" vertical="center"/>
    </xf>
    <xf numFmtId="0" fontId="5" fillId="6" borderId="12" xfId="0" applyFont="1" applyFill="1" applyBorder="1" applyAlignment="1">
      <alignment horizontal="center" vertical="center"/>
    </xf>
    <xf numFmtId="0" fontId="5" fillId="0" borderId="0" xfId="0" applyFont="1" applyAlignment="1">
      <alignment horizontal="center" vertical="center"/>
    </xf>
    <xf numFmtId="0" fontId="5" fillId="0" borderId="24" xfId="0" applyFont="1" applyBorder="1" applyAlignment="1">
      <alignment horizontal="center" vertical="center"/>
    </xf>
    <xf numFmtId="0" fontId="7" fillId="2" borderId="1" xfId="2" applyFont="1" applyBorder="1" applyAlignment="1">
      <alignment horizontal="center" vertical="center"/>
    </xf>
    <xf numFmtId="0" fontId="2" fillId="2" borderId="65" xfId="2" applyBorder="1" applyAlignment="1">
      <alignment horizontal="center" vertical="center"/>
    </xf>
    <xf numFmtId="0" fontId="5" fillId="0" borderId="67" xfId="0" applyFont="1" applyBorder="1" applyAlignment="1">
      <alignment horizontal="left" vertical="top" wrapText="1" indent="1"/>
    </xf>
    <xf numFmtId="0" fontId="5" fillId="0" borderId="23" xfId="0" applyFont="1" applyBorder="1" applyAlignment="1">
      <alignment horizontal="left" vertical="top" wrapText="1" indent="1"/>
    </xf>
    <xf numFmtId="0" fontId="5" fillId="0" borderId="0" xfId="0" applyFont="1" applyAlignment="1">
      <alignment vertical="center"/>
    </xf>
    <xf numFmtId="0" fontId="5" fillId="6" borderId="12" xfId="0" applyFont="1" applyFill="1" applyBorder="1" applyAlignment="1">
      <alignment vertical="center"/>
    </xf>
    <xf numFmtId="0" fontId="5" fillId="0" borderId="69" xfId="0" applyFont="1" applyBorder="1" applyAlignment="1">
      <alignment horizontal="left" vertical="top" indent="1"/>
    </xf>
    <xf numFmtId="0" fontId="5" fillId="0" borderId="67" xfId="0" applyFont="1" applyBorder="1" applyAlignment="1">
      <alignment horizontal="left" vertical="top" indent="1"/>
    </xf>
    <xf numFmtId="0" fontId="2" fillId="2" borderId="17" xfId="2" applyBorder="1" applyAlignment="1">
      <alignment horizontal="center"/>
    </xf>
    <xf numFmtId="0" fontId="7" fillId="2" borderId="63" xfId="2" applyFont="1" applyBorder="1" applyAlignment="1">
      <alignment horizontal="left" vertical="center"/>
    </xf>
    <xf numFmtId="0" fontId="5" fillId="0" borderId="68" xfId="0" applyFont="1" applyBorder="1" applyAlignment="1">
      <alignment horizontal="left" vertical="top" wrapText="1" indent="1"/>
    </xf>
    <xf numFmtId="0" fontId="5" fillId="0" borderId="0" xfId="0" applyFont="1" applyAlignment="1">
      <alignment horizontal="center" vertical="center" wrapText="1"/>
    </xf>
    <xf numFmtId="0" fontId="5" fillId="0" borderId="71" xfId="0" applyFont="1" applyBorder="1" applyAlignment="1">
      <alignment horizontal="left" vertical="top" wrapText="1" indent="1"/>
    </xf>
    <xf numFmtId="0" fontId="5" fillId="0" borderId="70" xfId="0" applyFont="1" applyBorder="1" applyAlignment="1">
      <alignment horizontal="right" vertical="top" wrapText="1"/>
    </xf>
    <xf numFmtId="0" fontId="5" fillId="0" borderId="24" xfId="0" applyFont="1" applyBorder="1" applyAlignment="1">
      <alignment horizontal="center" vertical="center" wrapText="1"/>
    </xf>
    <xf numFmtId="0" fontId="5" fillId="0" borderId="27" xfId="0" applyFont="1" applyBorder="1" applyAlignment="1">
      <alignment horizontal="center" vertical="center" wrapText="1"/>
    </xf>
    <xf numFmtId="0" fontId="23" fillId="8" borderId="0" xfId="0" applyFont="1" applyFill="1" applyAlignment="1">
      <alignment vertical="center" wrapText="1"/>
    </xf>
    <xf numFmtId="0" fontId="5" fillId="8" borderId="0" xfId="0" applyFont="1" applyFill="1"/>
    <xf numFmtId="0" fontId="5" fillId="8" borderId="0" xfId="0" applyFont="1" applyFill="1" applyAlignment="1">
      <alignment vertical="top"/>
    </xf>
    <xf numFmtId="0" fontId="8" fillId="8" borderId="0" xfId="0" applyFont="1" applyFill="1" applyAlignment="1"/>
    <xf numFmtId="0" fontId="5" fillId="8" borderId="0" xfId="0" applyFont="1" applyFill="1" applyAlignment="1"/>
    <xf numFmtId="0" fontId="5" fillId="8" borderId="18" xfId="0" applyFont="1" applyFill="1" applyBorder="1" applyAlignment="1"/>
    <xf numFmtId="0" fontId="5" fillId="8" borderId="19" xfId="0" applyFont="1" applyFill="1" applyBorder="1" applyAlignment="1"/>
    <xf numFmtId="0" fontId="5" fillId="8" borderId="80" xfId="0" applyFont="1" applyFill="1" applyBorder="1" applyAlignment="1"/>
    <xf numFmtId="0" fontId="8" fillId="0" borderId="12" xfId="0" applyFont="1" applyBorder="1" applyAlignment="1">
      <alignment horizontal="center" vertical="center"/>
    </xf>
    <xf numFmtId="0" fontId="0" fillId="8" borderId="0" xfId="0" applyFill="1"/>
    <xf numFmtId="0" fontId="4" fillId="8" borderId="0" xfId="0" applyFont="1" applyFill="1" applyAlignment="1"/>
    <xf numFmtId="0" fontId="10" fillId="8" borderId="0" xfId="3" applyFill="1" applyAlignment="1"/>
    <xf numFmtId="0" fontId="2" fillId="8" borderId="1" xfId="2" applyFill="1"/>
    <xf numFmtId="0" fontId="2" fillId="2" borderId="82" xfId="2" applyBorder="1" applyAlignment="1">
      <alignment horizontal="center" vertical="center" wrapText="1"/>
    </xf>
    <xf numFmtId="0" fontId="2" fillId="2" borderId="85" xfId="2" applyBorder="1" applyAlignment="1">
      <alignment horizontal="center" vertical="center" wrapText="1"/>
    </xf>
    <xf numFmtId="0" fontId="0" fillId="0" borderId="0" xfId="0" applyBorder="1"/>
    <xf numFmtId="0" fontId="2" fillId="2" borderId="77" xfId="2" applyBorder="1" applyAlignment="1">
      <alignment horizontal="center" vertical="center"/>
    </xf>
    <xf numFmtId="0" fontId="0" fillId="0" borderId="24" xfId="0" applyBorder="1" applyAlignment="1">
      <alignment horizontal="center" vertical="center"/>
    </xf>
    <xf numFmtId="0" fontId="0" fillId="0" borderId="0" xfId="0" applyBorder="1"/>
    <xf numFmtId="0" fontId="0" fillId="0" borderId="0" xfId="0" applyBorder="1" applyAlignment="1">
      <alignment horizontal="center" vertical="center"/>
    </xf>
    <xf numFmtId="0" fontId="5" fillId="0" borderId="23" xfId="0" applyFont="1" applyBorder="1" applyAlignment="1">
      <alignment horizontal="right" vertical="top" wrapText="1" indent="1"/>
    </xf>
    <xf numFmtId="0" fontId="2" fillId="2" borderId="79" xfId="2" applyBorder="1" applyAlignment="1">
      <alignment horizontal="center" vertical="center"/>
    </xf>
    <xf numFmtId="0" fontId="5" fillId="0" borderId="66" xfId="0" applyFont="1" applyBorder="1" applyAlignment="1">
      <alignment horizontal="right" vertical="top" wrapText="1" indent="1"/>
    </xf>
    <xf numFmtId="0" fontId="8" fillId="0" borderId="23" xfId="0" applyFont="1" applyBorder="1" applyAlignment="1">
      <alignment horizontal="left" vertical="top"/>
    </xf>
    <xf numFmtId="0" fontId="5" fillId="6" borderId="27" xfId="0" applyFont="1" applyFill="1" applyBorder="1" applyAlignment="1">
      <alignment horizontal="center" vertical="center"/>
    </xf>
    <xf numFmtId="0" fontId="0" fillId="0" borderId="81" xfId="0" applyBorder="1"/>
    <xf numFmtId="0" fontId="0" fillId="0" borderId="81" xfId="0" applyBorder="1" applyProtection="1">
      <protection locked="0"/>
    </xf>
    <xf numFmtId="0" fontId="5" fillId="0" borderId="70" xfId="0" applyFont="1" applyBorder="1" applyAlignment="1">
      <alignment horizontal="right" vertical="top" wrapText="1" indent="1"/>
    </xf>
    <xf numFmtId="0" fontId="5" fillId="0" borderId="71" xfId="0" applyFont="1" applyBorder="1" applyAlignment="1">
      <alignment horizontal="right" vertical="top" wrapText="1" indent="1"/>
    </xf>
    <xf numFmtId="0" fontId="8" fillId="0" borderId="86" xfId="0" applyFont="1" applyBorder="1" applyAlignment="1">
      <alignment horizontal="left" vertical="top"/>
    </xf>
    <xf numFmtId="0" fontId="5" fillId="0" borderId="0" xfId="0" applyFont="1" applyAlignment="1">
      <alignment horizontal="right"/>
    </xf>
    <xf numFmtId="0" fontId="1" fillId="9" borderId="1" xfId="1" applyAlignment="1" applyProtection="1">
      <alignment horizontal="center" vertical="center"/>
      <protection locked="0"/>
    </xf>
    <xf numFmtId="0" fontId="10" fillId="0" borderId="0" xfId="3" applyAlignment="1">
      <alignment wrapText="1"/>
    </xf>
    <xf numFmtId="0" fontId="2" fillId="2" borderId="1" xfId="2" applyAlignment="1" applyProtection="1">
      <alignment horizontal="center" vertical="center"/>
    </xf>
    <xf numFmtId="0" fontId="7" fillId="2" borderId="1" xfId="2" applyFont="1" applyAlignment="1" applyProtection="1">
      <alignment horizontal="center" vertical="center"/>
    </xf>
    <xf numFmtId="0" fontId="5" fillId="0" borderId="0" xfId="0" applyFont="1" applyAlignment="1" applyProtection="1">
      <alignment horizontal="center" vertical="center" wrapText="1"/>
    </xf>
    <xf numFmtId="0" fontId="24" fillId="8" borderId="0" xfId="0" applyFont="1" applyFill="1" applyAlignment="1" applyProtection="1">
      <alignment vertical="center" wrapText="1"/>
    </xf>
    <xf numFmtId="0" fontId="5" fillId="8" borderId="0" xfId="0" applyFont="1" applyFill="1" applyAlignment="1" applyProtection="1"/>
    <xf numFmtId="0" fontId="5" fillId="0" borderId="0" xfId="0" applyFont="1" applyProtection="1"/>
    <xf numFmtId="0" fontId="5" fillId="0" borderId="0" xfId="0" applyFont="1" applyAlignment="1" applyProtection="1">
      <alignment vertical="center"/>
    </xf>
    <xf numFmtId="0" fontId="5" fillId="0" borderId="0" xfId="0" applyFont="1" applyAlignment="1" applyProtection="1">
      <alignment horizontal="center" vertical="center"/>
    </xf>
    <xf numFmtId="0" fontId="8" fillId="0" borderId="0" xfId="0" applyFont="1" applyAlignment="1" applyProtection="1">
      <alignment wrapText="1"/>
    </xf>
    <xf numFmtId="0" fontId="8" fillId="0" borderId="86" xfId="0" applyFont="1" applyBorder="1" applyAlignment="1" applyProtection="1">
      <alignment horizontal="left" vertical="top"/>
    </xf>
    <xf numFmtId="0" fontId="8" fillId="0" borderId="0" xfId="0" applyFont="1" applyProtection="1"/>
    <xf numFmtId="0" fontId="8" fillId="0" borderId="0" xfId="0" applyFont="1" applyAlignment="1" applyProtection="1">
      <alignment horizontal="center" wrapText="1"/>
    </xf>
    <xf numFmtId="0" fontId="8" fillId="0" borderId="0" xfId="0" applyFont="1" applyBorder="1" applyAlignment="1" applyProtection="1">
      <alignment horizontal="center" vertical="center"/>
    </xf>
    <xf numFmtId="0" fontId="5" fillId="0" borderId="72" xfId="0" applyFont="1" applyBorder="1" applyAlignment="1" applyProtection="1">
      <alignment horizontal="left" vertical="top" wrapText="1" indent="1"/>
    </xf>
    <xf numFmtId="0" fontId="5" fillId="0" borderId="8" xfId="0" applyFont="1" applyBorder="1" applyAlignment="1" applyProtection="1">
      <alignment horizontal="center"/>
    </xf>
    <xf numFmtId="0" fontId="5" fillId="0" borderId="8" xfId="0" applyFont="1" applyBorder="1" applyAlignment="1" applyProtection="1">
      <alignment vertical="center"/>
    </xf>
    <xf numFmtId="0" fontId="5" fillId="0" borderId="8" xfId="0" applyFont="1" applyBorder="1" applyAlignment="1" applyProtection="1">
      <alignment horizontal="center" vertical="center"/>
    </xf>
    <xf numFmtId="0" fontId="0" fillId="0" borderId="9" xfId="0" applyBorder="1" applyAlignment="1" applyProtection="1">
      <alignment horizontal="center" vertical="center"/>
    </xf>
    <xf numFmtId="0" fontId="2" fillId="2" borderId="85" xfId="2" applyBorder="1" applyAlignment="1" applyProtection="1">
      <alignment horizontal="center" vertical="center" wrapText="1"/>
    </xf>
    <xf numFmtId="0" fontId="5" fillId="0" borderId="67" xfId="0" applyFont="1" applyBorder="1" applyAlignment="1" applyProtection="1">
      <alignment horizontal="left" vertical="top" wrapText="1" indent="1"/>
    </xf>
    <xf numFmtId="0" fontId="5" fillId="0" borderId="0" xfId="0" applyFont="1" applyBorder="1" applyAlignment="1" applyProtection="1">
      <alignment horizontal="center"/>
    </xf>
    <xf numFmtId="0" fontId="5" fillId="0" borderId="0" xfId="0" applyFont="1" applyBorder="1" applyAlignment="1" applyProtection="1">
      <alignment vertical="center"/>
    </xf>
    <xf numFmtId="0" fontId="5" fillId="0" borderId="0" xfId="0" applyFont="1" applyBorder="1" applyAlignment="1" applyProtection="1">
      <alignment horizontal="center" vertical="center"/>
    </xf>
    <xf numFmtId="0" fontId="2" fillId="2" borderId="1" xfId="2" applyBorder="1" applyAlignment="1" applyProtection="1">
      <alignment horizontal="center" vertical="center"/>
    </xf>
    <xf numFmtId="0" fontId="0" fillId="0" borderId="24" xfId="0" applyBorder="1" applyAlignment="1" applyProtection="1">
      <alignment horizontal="center" vertical="center"/>
    </xf>
    <xf numFmtId="0" fontId="8" fillId="0" borderId="0" xfId="0" applyFont="1" applyAlignment="1" applyProtection="1"/>
    <xf numFmtId="0" fontId="5" fillId="0" borderId="0" xfId="0" applyFont="1" applyBorder="1" applyAlignment="1" applyProtection="1">
      <alignment vertical="center" wrapText="1"/>
    </xf>
    <xf numFmtId="0" fontId="2" fillId="2" borderId="65" xfId="2" applyBorder="1" applyAlignment="1" applyProtection="1">
      <alignment horizontal="center" vertical="center"/>
    </xf>
    <xf numFmtId="0" fontId="0" fillId="0" borderId="0" xfId="0" applyBorder="1" applyAlignment="1" applyProtection="1">
      <alignment horizontal="center" vertical="center"/>
    </xf>
    <xf numFmtId="0" fontId="5" fillId="0" borderId="71" xfId="0" applyFont="1" applyBorder="1" applyAlignment="1" applyProtection="1">
      <alignment horizontal="left" vertical="top" wrapText="1" indent="1"/>
    </xf>
    <xf numFmtId="0" fontId="0" fillId="0" borderId="10" xfId="0" applyBorder="1" applyProtection="1"/>
    <xf numFmtId="0" fontId="0" fillId="0" borderId="12" xfId="0" applyBorder="1" applyProtection="1"/>
    <xf numFmtId="0" fontId="0" fillId="0" borderId="27" xfId="0" applyBorder="1" applyProtection="1"/>
    <xf numFmtId="0" fontId="0" fillId="0" borderId="0" xfId="0" applyProtection="1"/>
    <xf numFmtId="0" fontId="10" fillId="0" borderId="0" xfId="3" applyProtection="1"/>
    <xf numFmtId="0" fontId="8" fillId="0" borderId="0" xfId="0" applyFont="1" applyAlignment="1" applyProtection="1">
      <alignment horizontal="center"/>
    </xf>
    <xf numFmtId="0" fontId="5" fillId="0" borderId="2" xfId="0" applyFont="1" applyBorder="1" applyAlignment="1" applyProtection="1">
      <alignment wrapText="1"/>
    </xf>
    <xf numFmtId="0" fontId="2" fillId="2" borderId="1" xfId="2" applyAlignment="1" applyProtection="1">
      <alignment horizontal="center"/>
    </xf>
    <xf numFmtId="0" fontId="5" fillId="0" borderId="2" xfId="0" applyFont="1" applyBorder="1" applyAlignment="1" applyProtection="1"/>
    <xf numFmtId="0" fontId="2" fillId="2" borderId="17" xfId="2" applyBorder="1" applyAlignment="1" applyProtection="1">
      <alignment horizontal="center"/>
    </xf>
    <xf numFmtId="0" fontId="7" fillId="2" borderId="1" xfId="2" applyFont="1" applyAlignment="1" applyProtection="1">
      <alignment wrapText="1"/>
    </xf>
    <xf numFmtId="0" fontId="12" fillId="3" borderId="63" xfId="4" applyBorder="1" applyAlignment="1" applyProtection="1">
      <alignment horizontal="center" vertical="center"/>
      <protection locked="0"/>
    </xf>
    <xf numFmtId="0" fontId="12" fillId="3" borderId="1" xfId="4" applyBorder="1" applyAlignment="1" applyProtection="1">
      <alignment horizontal="center" vertical="center"/>
      <protection locked="0"/>
    </xf>
    <xf numFmtId="0" fontId="15" fillId="0" borderId="0" xfId="0" applyFont="1" applyAlignment="1">
      <alignment vertical="center" wrapText="1"/>
    </xf>
    <xf numFmtId="0" fontId="12" fillId="3" borderId="74" xfId="4" applyBorder="1" applyAlignment="1" applyProtection="1">
      <alignment horizontal="center" vertical="center"/>
      <protection locked="0"/>
    </xf>
    <xf numFmtId="0" fontId="12" fillId="3" borderId="1" xfId="4" applyBorder="1" applyAlignment="1" applyProtection="1">
      <alignment vertical="center"/>
      <protection locked="0"/>
    </xf>
    <xf numFmtId="0" fontId="5" fillId="7" borderId="0" xfId="0" applyFont="1" applyFill="1"/>
    <xf numFmtId="0" fontId="27" fillId="0" borderId="0" xfId="0" applyFont="1"/>
    <xf numFmtId="0" fontId="5" fillId="7" borderId="0" xfId="0" applyFont="1" applyFill="1" applyAlignment="1">
      <alignment horizontal="center" vertical="center" wrapText="1"/>
    </xf>
    <xf numFmtId="0" fontId="5" fillId="7" borderId="0" xfId="0" applyFont="1" applyFill="1" applyAlignment="1">
      <alignment horizontal="center" vertical="center"/>
    </xf>
    <xf numFmtId="0" fontId="5" fillId="0" borderId="89" xfId="0" applyFont="1" applyBorder="1" applyAlignment="1">
      <alignment horizontal="center"/>
    </xf>
    <xf numFmtId="0" fontId="5" fillId="7" borderId="16" xfId="0" applyFont="1" applyFill="1" applyBorder="1" applyAlignment="1">
      <alignment horizontal="center"/>
    </xf>
    <xf numFmtId="0" fontId="5" fillId="0" borderId="16" xfId="0" applyFont="1" applyBorder="1" applyAlignment="1">
      <alignment horizontal="center"/>
    </xf>
    <xf numFmtId="0" fontId="10" fillId="0" borderId="0" xfId="3" applyAlignment="1">
      <alignment vertical="center" wrapText="1"/>
    </xf>
    <xf numFmtId="0" fontId="8" fillId="0" borderId="23" xfId="0" quotePrefix="1" applyFont="1" applyBorder="1" applyAlignment="1">
      <alignment horizontal="center"/>
    </xf>
    <xf numFmtId="0" fontId="12" fillId="3" borderId="1" xfId="4" applyBorder="1" applyAlignment="1" applyProtection="1">
      <alignment horizontal="center" vertical="center"/>
      <protection locked="0"/>
    </xf>
    <xf numFmtId="0" fontId="5" fillId="0" borderId="0" xfId="0" applyFont="1" applyBorder="1" applyAlignment="1">
      <alignment horizontal="center" vertical="center"/>
    </xf>
    <xf numFmtId="0" fontId="0" fillId="0" borderId="0" xfId="0" applyBorder="1"/>
    <xf numFmtId="0" fontId="5" fillId="0" borderId="0" xfId="0" applyFont="1" applyBorder="1" applyAlignment="1">
      <alignment horizontal="center"/>
    </xf>
    <xf numFmtId="0" fontId="15" fillId="0" borderId="31" xfId="0" applyFont="1" applyBorder="1" applyAlignment="1">
      <alignment horizontal="center" vertical="center"/>
    </xf>
    <xf numFmtId="0" fontId="18" fillId="5" borderId="31" xfId="0" applyFont="1" applyFill="1" applyBorder="1" applyAlignment="1">
      <alignment horizontal="center" vertical="center"/>
    </xf>
    <xf numFmtId="0" fontId="18" fillId="5" borderId="32" xfId="0" applyFont="1" applyFill="1" applyBorder="1" applyAlignment="1">
      <alignment horizontal="center" vertical="center"/>
    </xf>
    <xf numFmtId="0" fontId="21" fillId="7" borderId="31" xfId="0" applyFont="1" applyFill="1" applyBorder="1" applyAlignment="1">
      <alignment horizontal="center" vertical="center"/>
    </xf>
    <xf numFmtId="0" fontId="15" fillId="0" borderId="33" xfId="0" applyFont="1" applyBorder="1" applyAlignment="1">
      <alignment horizontal="center" vertical="center" wrapText="1"/>
    </xf>
    <xf numFmtId="0" fontId="21" fillId="7" borderId="41" xfId="0" applyFont="1" applyFill="1" applyBorder="1" applyAlignment="1">
      <alignment horizontal="center" vertical="center"/>
    </xf>
    <xf numFmtId="0" fontId="5" fillId="0" borderId="0" xfId="0" applyFont="1" applyAlignment="1">
      <alignment horizontal="center"/>
    </xf>
    <xf numFmtId="0" fontId="5" fillId="0" borderId="0" xfId="0" applyFont="1" applyAlignment="1">
      <alignment horizontal="left" vertical="top" wrapText="1"/>
    </xf>
    <xf numFmtId="0" fontId="12" fillId="3" borderId="1" xfId="4" applyBorder="1" applyAlignment="1" applyProtection="1">
      <alignment horizontal="center" vertical="center"/>
      <protection locked="0"/>
    </xf>
    <xf numFmtId="0" fontId="15" fillId="0" borderId="31" xfId="0" applyFont="1" applyBorder="1" applyAlignment="1">
      <alignment horizontal="center" vertical="center"/>
    </xf>
    <xf numFmtId="0" fontId="5" fillId="0" borderId="0" xfId="0" quotePrefix="1" applyFont="1" applyBorder="1" applyAlignment="1" applyProtection="1">
      <alignment horizontal="center"/>
    </xf>
    <xf numFmtId="0" fontId="2" fillId="2" borderId="1" xfId="2" applyAlignment="1" applyProtection="1">
      <alignment horizontal="center"/>
      <protection locked="0"/>
    </xf>
    <xf numFmtId="0" fontId="1" fillId="9" borderId="1" xfId="1" applyAlignment="1" applyProtection="1">
      <alignment horizontal="center"/>
      <protection locked="0"/>
    </xf>
    <xf numFmtId="0" fontId="15" fillId="0" borderId="31" xfId="0" applyFont="1" applyBorder="1" applyAlignment="1">
      <alignment horizontal="center" vertical="center" wrapText="1"/>
    </xf>
    <xf numFmtId="0" fontId="8" fillId="0" borderId="95" xfId="0" applyFont="1" applyBorder="1" applyAlignment="1">
      <alignment wrapText="1"/>
    </xf>
    <xf numFmtId="0" fontId="15" fillId="0" borderId="33" xfId="0" applyFont="1" applyBorder="1" applyAlignment="1">
      <alignment horizontal="center" vertical="center"/>
    </xf>
    <xf numFmtId="0" fontId="15" fillId="0" borderId="96" xfId="0" applyFont="1" applyBorder="1" applyAlignment="1" applyProtection="1">
      <alignment horizontal="center" vertical="center" wrapText="1"/>
      <protection locked="0"/>
    </xf>
    <xf numFmtId="0" fontId="16" fillId="5" borderId="32" xfId="0" applyFont="1" applyFill="1" applyBorder="1" applyAlignment="1">
      <alignment horizontal="center" vertical="center"/>
    </xf>
    <xf numFmtId="0" fontId="12" fillId="3" borderId="32" xfId="4" applyBorder="1" applyAlignment="1">
      <alignment vertical="center"/>
    </xf>
    <xf numFmtId="0" fontId="12" fillId="3" borderId="33" xfId="4" applyBorder="1" applyAlignment="1">
      <alignment vertical="center"/>
    </xf>
    <xf numFmtId="0" fontId="12" fillId="3" borderId="34" xfId="4" applyBorder="1" applyAlignment="1">
      <alignment vertical="center"/>
    </xf>
    <xf numFmtId="0" fontId="16" fillId="5" borderId="34" xfId="0" applyFont="1" applyFill="1" applyBorder="1" applyAlignment="1">
      <alignment horizontal="center" vertical="center"/>
    </xf>
    <xf numFmtId="0" fontId="15" fillId="0" borderId="100" xfId="0" applyFont="1" applyBorder="1" applyAlignment="1" applyProtection="1">
      <alignment horizontal="center" vertical="center"/>
      <protection locked="0"/>
    </xf>
    <xf numFmtId="0" fontId="15" fillId="0" borderId="113" xfId="0" applyFont="1" applyBorder="1" applyAlignment="1" applyProtection="1">
      <alignment horizontal="center" vertical="center"/>
      <protection locked="0"/>
    </xf>
    <xf numFmtId="0" fontId="0" fillId="0" borderId="0" xfId="0" quotePrefix="1"/>
    <xf numFmtId="0" fontId="15" fillId="0" borderId="104" xfId="0" applyFont="1" applyBorder="1" applyAlignment="1" applyProtection="1">
      <alignment horizontal="center" vertical="center" wrapText="1"/>
      <protection locked="0"/>
    </xf>
    <xf numFmtId="0" fontId="15" fillId="0" borderId="106" xfId="0" applyFont="1" applyBorder="1" applyAlignment="1" applyProtection="1">
      <alignment horizontal="center" vertical="center" wrapText="1"/>
      <protection locked="0"/>
    </xf>
    <xf numFmtId="0" fontId="15" fillId="0" borderId="101" xfId="0" applyFont="1" applyBorder="1" applyAlignment="1" applyProtection="1">
      <alignment horizontal="center" vertical="center"/>
      <protection locked="0"/>
    </xf>
    <xf numFmtId="0" fontId="16" fillId="5" borderId="115" xfId="0" applyFont="1" applyFill="1" applyBorder="1" applyAlignment="1">
      <alignment horizontal="center" vertical="center"/>
    </xf>
    <xf numFmtId="0" fontId="5" fillId="10" borderId="67" xfId="0" applyFont="1" applyFill="1" applyBorder="1" applyAlignment="1">
      <alignment horizontal="left" vertical="top" wrapText="1" indent="1"/>
    </xf>
    <xf numFmtId="0" fontId="2" fillId="2" borderId="117" xfId="2" applyBorder="1" applyAlignment="1">
      <alignment wrapText="1"/>
    </xf>
    <xf numFmtId="0" fontId="8" fillId="6" borderId="4" xfId="0" applyFont="1" applyFill="1" applyBorder="1" applyAlignment="1">
      <alignment wrapText="1"/>
    </xf>
    <xf numFmtId="0" fontId="1" fillId="9" borderId="20" xfId="1" applyBorder="1" applyAlignment="1" applyProtection="1">
      <alignment wrapText="1"/>
      <protection locked="0"/>
    </xf>
    <xf numFmtId="0" fontId="5" fillId="0" borderId="0" xfId="0" applyFont="1" applyAlignment="1">
      <alignment horizontal="center"/>
    </xf>
    <xf numFmtId="0" fontId="15" fillId="0" borderId="31" xfId="0" applyFont="1" applyBorder="1" applyAlignment="1">
      <alignment horizontal="center" vertical="center"/>
    </xf>
    <xf numFmtId="0" fontId="4" fillId="0" borderId="0" xfId="0" applyFont="1" applyAlignment="1">
      <alignment horizontal="center" wrapText="1"/>
    </xf>
    <xf numFmtId="0" fontId="8" fillId="0" borderId="7" xfId="0" applyFont="1" applyBorder="1" applyAlignment="1">
      <alignment horizontal="left" vertical="top" wrapText="1"/>
    </xf>
    <xf numFmtId="0" fontId="8" fillId="0" borderId="10" xfId="0" applyFont="1" applyBorder="1" applyAlignment="1">
      <alignment horizontal="left" vertical="top" wrapText="1"/>
    </xf>
    <xf numFmtId="0" fontId="10" fillId="0" borderId="0" xfId="3" applyAlignment="1">
      <alignment horizontal="left" wrapText="1"/>
    </xf>
    <xf numFmtId="0" fontId="8" fillId="0" borderId="0" xfId="0" applyFont="1" applyAlignment="1">
      <alignment horizontal="left" wrapText="1"/>
    </xf>
    <xf numFmtId="0" fontId="10" fillId="0" borderId="0" xfId="3" applyAlignment="1">
      <alignment horizontal="center"/>
    </xf>
    <xf numFmtId="0" fontId="12" fillId="3" borderId="11" xfId="4"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2" fillId="2" borderId="11" xfId="2" applyBorder="1" applyAlignment="1">
      <alignment horizontal="center"/>
    </xf>
    <xf numFmtId="0" fontId="2" fillId="2" borderId="13" xfId="2" applyBorder="1" applyAlignment="1">
      <alignment horizontal="center"/>
    </xf>
    <xf numFmtId="0" fontId="10" fillId="11" borderId="86" xfId="3" applyFill="1" applyBorder="1" applyAlignment="1">
      <alignment horizontal="left" vertical="top" wrapText="1"/>
    </xf>
    <xf numFmtId="0" fontId="10" fillId="11" borderId="87" xfId="3" applyFill="1" applyBorder="1" applyAlignment="1">
      <alignment horizontal="left" vertical="top" wrapText="1"/>
    </xf>
    <xf numFmtId="0" fontId="10" fillId="11" borderId="73" xfId="3" applyFill="1" applyBorder="1" applyAlignment="1">
      <alignment horizontal="left" vertical="top" wrapText="1"/>
    </xf>
    <xf numFmtId="0" fontId="10" fillId="0" borderId="0" xfId="3" applyAlignment="1">
      <alignment horizontal="left"/>
    </xf>
    <xf numFmtId="0" fontId="10" fillId="0" borderId="0" xfId="3" applyAlignment="1">
      <alignment horizontal="right"/>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14" fillId="0" borderId="0" xfId="3" applyFont="1" applyAlignment="1">
      <alignment horizontal="center"/>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8" fillId="0" borderId="2" xfId="0" applyFont="1" applyBorder="1" applyAlignment="1">
      <alignment horizontal="left" vertical="top" wrapText="1"/>
    </xf>
    <xf numFmtId="0" fontId="5" fillId="0" borderId="2" xfId="0" applyFont="1" applyBorder="1" applyAlignment="1">
      <alignment horizontal="left"/>
    </xf>
    <xf numFmtId="0" fontId="5" fillId="0" borderId="6" xfId="0" applyFont="1" applyBorder="1" applyAlignment="1">
      <alignment horizontal="left" vertical="center" wrapText="1"/>
    </xf>
    <xf numFmtId="0" fontId="5" fillId="0" borderId="0" xfId="0" applyFont="1" applyBorder="1" applyAlignment="1">
      <alignment horizontal="left" vertical="center" wrapText="1"/>
    </xf>
    <xf numFmtId="0" fontId="23" fillId="0" borderId="75" xfId="0" applyFont="1" applyBorder="1" applyAlignment="1">
      <alignment horizontal="left" vertical="top" wrapText="1"/>
    </xf>
    <xf numFmtId="0" fontId="23" fillId="0" borderId="76" xfId="0" applyFont="1" applyBorder="1" applyAlignment="1">
      <alignment horizontal="left" vertical="top" wrapText="1"/>
    </xf>
    <xf numFmtId="0" fontId="5" fillId="0" borderId="6" xfId="0" applyFont="1" applyBorder="1" applyAlignment="1">
      <alignment horizontal="left" wrapText="1"/>
    </xf>
    <xf numFmtId="0" fontId="5" fillId="0" borderId="0" xfId="0" applyFont="1" applyAlignment="1">
      <alignment horizontal="left" wrapText="1"/>
    </xf>
    <xf numFmtId="0" fontId="8" fillId="0" borderId="93" xfId="0" applyFont="1" applyBorder="1" applyAlignment="1">
      <alignment horizontal="left" vertical="top" wrapText="1"/>
    </xf>
    <xf numFmtId="0" fontId="8" fillId="0" borderId="92" xfId="0" applyFont="1" applyBorder="1" applyAlignment="1">
      <alignment horizontal="left" vertical="top" wrapText="1"/>
    </xf>
    <xf numFmtId="0" fontId="8" fillId="0" borderId="94" xfId="0" applyFont="1" applyBorder="1" applyAlignment="1">
      <alignment horizontal="left" vertical="top" wrapText="1"/>
    </xf>
    <xf numFmtId="0" fontId="4" fillId="0" borderId="0" xfId="0" applyFont="1" applyAlignment="1">
      <alignment horizontal="center"/>
    </xf>
    <xf numFmtId="0" fontId="29" fillId="0" borderId="10" xfId="0" applyFont="1" applyBorder="1" applyAlignment="1">
      <alignment horizontal="center" vertical="center" wrapText="1"/>
    </xf>
    <xf numFmtId="0" fontId="29" fillId="0" borderId="27" xfId="0" applyFont="1" applyBorder="1" applyAlignment="1">
      <alignment horizontal="center" vertical="center" wrapText="1"/>
    </xf>
    <xf numFmtId="0" fontId="2" fillId="2" borderId="83" xfId="2" applyBorder="1" applyAlignment="1">
      <alignment horizontal="center" vertical="center" wrapText="1"/>
    </xf>
    <xf numFmtId="0" fontId="2" fillId="2" borderId="84" xfId="2" applyBorder="1" applyAlignment="1">
      <alignment horizontal="center" vertical="center" wrapText="1"/>
    </xf>
    <xf numFmtId="0" fontId="2" fillId="2" borderId="24" xfId="2" applyBorder="1" applyAlignment="1">
      <alignment horizontal="center" vertical="center" wrapText="1"/>
    </xf>
    <xf numFmtId="0" fontId="8" fillId="0" borderId="12" xfId="0" applyFont="1" applyBorder="1" applyAlignment="1">
      <alignment horizontal="center"/>
    </xf>
    <xf numFmtId="0" fontId="5" fillId="0" borderId="87" xfId="0" applyFont="1" applyBorder="1" applyAlignment="1">
      <alignment horizontal="left" wrapText="1"/>
    </xf>
    <xf numFmtId="0" fontId="5" fillId="0" borderId="73" xfId="0" applyFont="1" applyBorder="1" applyAlignment="1">
      <alignment horizontal="left" wrapText="1"/>
    </xf>
    <xf numFmtId="0" fontId="5" fillId="0" borderId="6"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center" vertical="center"/>
    </xf>
    <xf numFmtId="0" fontId="2" fillId="2" borderId="74" xfId="2" applyBorder="1" applyAlignment="1">
      <alignment horizontal="center" vertical="center"/>
    </xf>
    <xf numFmtId="0" fontId="2" fillId="2" borderId="75" xfId="2" applyBorder="1" applyAlignment="1">
      <alignment horizontal="center" vertical="center"/>
    </xf>
    <xf numFmtId="0" fontId="2" fillId="2" borderId="76" xfId="2" applyBorder="1" applyAlignment="1">
      <alignment horizontal="center" vertical="center"/>
    </xf>
    <xf numFmtId="0" fontId="5" fillId="0" borderId="0" xfId="0" applyFont="1" applyBorder="1" applyAlignment="1">
      <alignment horizontal="center" vertical="center"/>
    </xf>
    <xf numFmtId="0" fontId="5" fillId="0" borderId="6" xfId="0" quotePrefix="1" applyFont="1" applyBorder="1" applyAlignment="1">
      <alignment horizontal="left" vertical="top" wrapText="1"/>
    </xf>
    <xf numFmtId="0" fontId="5" fillId="0" borderId="0" xfId="0" quotePrefix="1" applyFont="1" applyBorder="1" applyAlignment="1">
      <alignment horizontal="left" vertical="top" wrapText="1"/>
    </xf>
    <xf numFmtId="0" fontId="5" fillId="0" borderId="0" xfId="0" applyFont="1" applyBorder="1" applyAlignment="1">
      <alignment horizontal="center"/>
    </xf>
    <xf numFmtId="0" fontId="5" fillId="0" borderId="0" xfId="0" applyFont="1" applyBorder="1" applyAlignment="1">
      <alignment horizontal="left" vertical="center"/>
    </xf>
    <xf numFmtId="0" fontId="23" fillId="8" borderId="23" xfId="0" applyFont="1" applyFill="1" applyBorder="1" applyAlignment="1">
      <alignment horizontal="left" vertical="center" wrapText="1"/>
    </xf>
    <xf numFmtId="0" fontId="0" fillId="0" borderId="0" xfId="0" applyBorder="1"/>
    <xf numFmtId="0" fontId="2" fillId="2" borderId="77" xfId="2" applyBorder="1" applyAlignment="1">
      <alignment horizontal="center" vertical="center"/>
    </xf>
    <xf numFmtId="0" fontId="2" fillId="2" borderId="78" xfId="2" applyBorder="1" applyAlignment="1">
      <alignment horizontal="center" vertical="center"/>
    </xf>
    <xf numFmtId="0" fontId="2" fillId="2" borderId="79" xfId="2" applyBorder="1" applyAlignment="1">
      <alignment horizontal="center" vertical="center"/>
    </xf>
    <xf numFmtId="0" fontId="0" fillId="0" borderId="14" xfId="0"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0" fontId="8" fillId="0" borderId="0" xfId="0" applyFont="1" applyBorder="1" applyAlignment="1">
      <alignment horizontal="right" vertical="center" textRotation="90"/>
    </xf>
    <xf numFmtId="0" fontId="5" fillId="0" borderId="68" xfId="0" applyFont="1" applyBorder="1" applyAlignment="1">
      <alignment horizontal="left" vertical="top" indent="1"/>
    </xf>
    <xf numFmtId="0" fontId="5" fillId="0" borderId="23" xfId="0" applyFont="1" applyBorder="1" applyAlignment="1">
      <alignment horizontal="left" vertical="top" indent="1"/>
    </xf>
    <xf numFmtId="0" fontId="5" fillId="0" borderId="66" xfId="0" applyFont="1" applyBorder="1" applyAlignment="1">
      <alignment horizontal="left" vertical="top" indent="1"/>
    </xf>
    <xf numFmtId="0" fontId="12" fillId="3" borderId="1" xfId="4" applyBorder="1" applyAlignment="1" applyProtection="1">
      <alignment horizontal="center" vertical="center"/>
      <protection locked="0"/>
    </xf>
    <xf numFmtId="0" fontId="5" fillId="0" borderId="69" xfId="0" applyFont="1" applyBorder="1" applyAlignment="1">
      <alignment horizontal="left" vertical="top" wrapText="1" indent="1"/>
    </xf>
    <xf numFmtId="0" fontId="5" fillId="0" borderId="71" xfId="0" applyFont="1" applyBorder="1" applyAlignment="1">
      <alignment horizontal="left" vertical="top" wrapText="1" indent="1"/>
    </xf>
    <xf numFmtId="0" fontId="12" fillId="3" borderId="74" xfId="4" applyBorder="1" applyAlignment="1" applyProtection="1">
      <alignment horizontal="center" vertical="center"/>
      <protection locked="0"/>
    </xf>
    <xf numFmtId="0" fontId="12" fillId="3" borderId="76" xfId="4" applyBorder="1" applyAlignment="1" applyProtection="1">
      <alignment horizontal="center" vertical="center"/>
      <protection locked="0"/>
    </xf>
    <xf numFmtId="0" fontId="5" fillId="0" borderId="70" xfId="0" applyFont="1" applyBorder="1" applyAlignment="1">
      <alignment horizontal="left" vertical="top" wrapText="1" indent="1"/>
    </xf>
    <xf numFmtId="0" fontId="5" fillId="0" borderId="69" xfId="0" applyFont="1" applyBorder="1" applyAlignment="1">
      <alignment horizontal="left" vertical="top" indent="1"/>
    </xf>
    <xf numFmtId="0" fontId="5" fillId="0" borderId="71" xfId="0" applyFont="1" applyBorder="1" applyAlignment="1">
      <alignment horizontal="left" vertical="top" indent="1"/>
    </xf>
    <xf numFmtId="0" fontId="5" fillId="0" borderId="70" xfId="0" applyFont="1" applyBorder="1" applyAlignment="1">
      <alignment horizontal="left" vertical="top" indent="1"/>
    </xf>
    <xf numFmtId="0" fontId="12" fillId="3" borderId="75" xfId="4" applyBorder="1" applyAlignment="1" applyProtection="1">
      <alignment horizontal="center" vertical="center"/>
      <protection locked="0"/>
    </xf>
    <xf numFmtId="0" fontId="5" fillId="0" borderId="68" xfId="0" applyFont="1" applyBorder="1" applyAlignment="1">
      <alignment horizontal="left" vertical="top" wrapText="1" indent="1"/>
    </xf>
    <xf numFmtId="0" fontId="5" fillId="0" borderId="66" xfId="0" applyFont="1" applyBorder="1" applyAlignment="1">
      <alignment horizontal="left" vertical="top" wrapText="1" indent="1"/>
    </xf>
    <xf numFmtId="0" fontId="5" fillId="10" borderId="68" xfId="0" applyFont="1" applyFill="1" applyBorder="1" applyAlignment="1">
      <alignment horizontal="left" vertical="top" wrapText="1" indent="1"/>
    </xf>
    <xf numFmtId="0" fontId="5" fillId="10" borderId="66" xfId="0" applyFont="1" applyFill="1" applyBorder="1" applyAlignment="1">
      <alignment horizontal="left" vertical="top" wrapText="1" indent="1"/>
    </xf>
    <xf numFmtId="0" fontId="7" fillId="2" borderId="63" xfId="2" applyFont="1" applyBorder="1" applyAlignment="1">
      <alignment horizontal="left" vertical="top" wrapText="1"/>
    </xf>
    <xf numFmtId="0" fontId="10" fillId="0" borderId="0" xfId="3" applyAlignment="1">
      <alignment horizontal="center" vertical="center"/>
    </xf>
    <xf numFmtId="0" fontId="8" fillId="0" borderId="12" xfId="0" applyFont="1" applyBorder="1" applyAlignment="1">
      <alignment horizontal="center" vertical="center"/>
    </xf>
    <xf numFmtId="0" fontId="5" fillId="0" borderId="23" xfId="0" applyFont="1" applyBorder="1" applyAlignment="1">
      <alignment horizontal="left" vertical="top" wrapText="1" indent="1"/>
    </xf>
    <xf numFmtId="0" fontId="10" fillId="0" borderId="0" xfId="3" applyBorder="1" applyAlignment="1">
      <alignment horizontal="center" vertical="center" wrapText="1"/>
    </xf>
    <xf numFmtId="0" fontId="9" fillId="0" borderId="0"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7" xfId="0" applyFont="1" applyBorder="1" applyAlignment="1">
      <alignment horizontal="center" vertical="center" wrapText="1"/>
    </xf>
    <xf numFmtId="0" fontId="8" fillId="0" borderId="8" xfId="0" applyFont="1" applyBorder="1" applyAlignment="1">
      <alignment horizontal="center" vertical="center"/>
    </xf>
    <xf numFmtId="0" fontId="8" fillId="0" borderId="118" xfId="0" applyFont="1" applyBorder="1" applyAlignment="1" applyProtection="1">
      <alignment horizontal="center" vertical="top" wrapText="1"/>
    </xf>
    <xf numFmtId="0" fontId="8" fillId="0" borderId="119" xfId="0" applyFont="1" applyBorder="1" applyAlignment="1" applyProtection="1">
      <alignment horizontal="center" vertical="top" wrapText="1"/>
    </xf>
    <xf numFmtId="0" fontId="8" fillId="0" borderId="120" xfId="0" applyFont="1" applyBorder="1" applyAlignment="1" applyProtection="1">
      <alignment horizontal="center" vertical="top" wrapText="1"/>
    </xf>
    <xf numFmtId="0" fontId="8" fillId="0" borderId="121" xfId="0" applyFont="1" applyBorder="1" applyAlignment="1" applyProtection="1">
      <alignment horizontal="center" vertical="top" wrapText="1"/>
    </xf>
    <xf numFmtId="0" fontId="8" fillId="0" borderId="0" xfId="0" applyFont="1" applyBorder="1" applyAlignment="1" applyProtection="1">
      <alignment horizontal="center" vertical="top" wrapText="1"/>
    </xf>
    <xf numFmtId="0" fontId="8" fillId="0" borderId="122" xfId="0" applyFont="1" applyBorder="1" applyAlignment="1" applyProtection="1">
      <alignment horizontal="center" vertical="top" wrapText="1"/>
    </xf>
    <xf numFmtId="0" fontId="8" fillId="0" borderId="123" xfId="0" applyFont="1" applyBorder="1" applyAlignment="1" applyProtection="1">
      <alignment horizontal="center" vertical="top" wrapText="1"/>
    </xf>
    <xf numFmtId="0" fontId="8" fillId="0" borderId="3" xfId="0" applyFont="1" applyBorder="1" applyAlignment="1" applyProtection="1">
      <alignment horizontal="center" vertical="top" wrapText="1"/>
    </xf>
    <xf numFmtId="0" fontId="8" fillId="0" borderId="124" xfId="0" applyFont="1" applyBorder="1" applyAlignment="1" applyProtection="1">
      <alignment horizontal="center" vertical="top" wrapText="1"/>
    </xf>
    <xf numFmtId="0" fontId="5" fillId="0" borderId="6" xfId="0" quotePrefix="1"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87" xfId="0" applyFont="1" applyBorder="1" applyAlignment="1" applyProtection="1">
      <alignment horizontal="left" vertical="center" wrapText="1"/>
    </xf>
    <xf numFmtId="0" fontId="5" fillId="0" borderId="73" xfId="0" applyFont="1" applyBorder="1" applyAlignment="1" applyProtection="1">
      <alignment horizontal="left" vertical="center" wrapText="1"/>
    </xf>
    <xf numFmtId="0" fontId="8" fillId="0" borderId="0" xfId="0" applyFont="1" applyBorder="1" applyAlignment="1" applyProtection="1">
      <alignment horizontal="center"/>
    </xf>
    <xf numFmtId="0" fontId="8" fillId="0" borderId="0" xfId="0" applyFont="1" applyBorder="1" applyAlignment="1" applyProtection="1">
      <alignment horizontal="center" vertical="center"/>
    </xf>
    <xf numFmtId="0" fontId="4" fillId="0" borderId="0" xfId="0" applyFont="1" applyAlignment="1" applyProtection="1">
      <alignment horizontal="center"/>
    </xf>
    <xf numFmtId="0" fontId="8" fillId="0" borderId="0" xfId="0" applyFont="1" applyAlignment="1" applyProtection="1">
      <alignment horizontal="left" wrapText="1"/>
    </xf>
    <xf numFmtId="0" fontId="10" fillId="0" borderId="0" xfId="3" applyAlignment="1" applyProtection="1">
      <alignment horizontal="center"/>
    </xf>
    <xf numFmtId="0" fontId="10" fillId="0" borderId="0" xfId="3" applyAlignment="1" applyProtection="1">
      <alignment horizontal="center" vertical="center"/>
    </xf>
    <xf numFmtId="0" fontId="8" fillId="0" borderId="7"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9" xfId="0" applyFont="1" applyBorder="1" applyAlignment="1" applyProtection="1">
      <alignment horizontal="center" vertical="center"/>
    </xf>
    <xf numFmtId="0" fontId="9" fillId="0" borderId="23"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24"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9" fillId="0" borderId="27" xfId="0" applyFont="1" applyBorder="1" applyAlignment="1" applyProtection="1">
      <alignment horizontal="center" vertical="center" wrapText="1"/>
    </xf>
    <xf numFmtId="0" fontId="5" fillId="0" borderId="6" xfId="0" applyFont="1" applyBorder="1" applyAlignment="1" applyProtection="1">
      <alignment horizontal="left" vertical="top" wrapText="1"/>
    </xf>
    <xf numFmtId="0" fontId="5" fillId="0" borderId="88" xfId="0" applyFont="1" applyBorder="1" applyAlignment="1" applyProtection="1">
      <alignment horizontal="left" vertical="top" wrapText="1"/>
    </xf>
    <xf numFmtId="0" fontId="5" fillId="0" borderId="8" xfId="0" applyFont="1" applyBorder="1" applyAlignment="1" applyProtection="1">
      <alignment horizontal="left" vertical="top" wrapText="1"/>
    </xf>
    <xf numFmtId="0" fontId="25" fillId="0" borderId="0" xfId="0" applyFont="1" applyProtection="1"/>
    <xf numFmtId="0" fontId="15" fillId="0" borderId="101" xfId="0" applyFont="1" applyBorder="1" applyAlignment="1" applyProtection="1">
      <alignment horizontal="center" vertical="center" wrapText="1"/>
      <protection locked="0"/>
    </xf>
    <xf numFmtId="0" fontId="15" fillId="0" borderId="102" xfId="0" applyFont="1" applyBorder="1" applyAlignment="1" applyProtection="1">
      <alignment horizontal="center" vertical="center" wrapText="1"/>
      <protection locked="0"/>
    </xf>
    <xf numFmtId="0" fontId="15" fillId="0" borderId="103" xfId="0" applyFont="1" applyBorder="1" applyAlignment="1" applyProtection="1">
      <alignment horizontal="center" vertical="center" wrapText="1"/>
      <protection locked="0"/>
    </xf>
    <xf numFmtId="0" fontId="15" fillId="0" borderId="104" xfId="0" applyFont="1" applyBorder="1" applyAlignment="1" applyProtection="1">
      <alignment horizontal="center" vertical="center" wrapText="1"/>
      <protection locked="0"/>
    </xf>
    <xf numFmtId="0" fontId="15" fillId="0" borderId="31" xfId="0" applyFont="1" applyBorder="1" applyAlignment="1" applyProtection="1">
      <alignment horizontal="center" vertical="center" wrapText="1"/>
      <protection locked="0"/>
    </xf>
    <xf numFmtId="0" fontId="15" fillId="0" borderId="105" xfId="0" applyFont="1" applyBorder="1" applyAlignment="1" applyProtection="1">
      <alignment horizontal="center" vertical="center" wrapText="1"/>
      <protection locked="0"/>
    </xf>
    <xf numFmtId="0" fontId="15" fillId="0" borderId="106" xfId="0" applyFont="1" applyBorder="1" applyAlignment="1" applyProtection="1">
      <alignment horizontal="center" vertical="center" wrapText="1"/>
      <protection locked="0"/>
    </xf>
    <xf numFmtId="0" fontId="15" fillId="0" borderId="107" xfId="0" applyFont="1" applyBorder="1" applyAlignment="1" applyProtection="1">
      <alignment horizontal="center" vertical="center" wrapText="1"/>
      <protection locked="0"/>
    </xf>
    <xf numFmtId="0" fontId="15" fillId="0" borderId="108" xfId="0" applyFont="1" applyBorder="1" applyAlignment="1" applyProtection="1">
      <alignment horizontal="center" vertical="center" wrapText="1"/>
      <protection locked="0"/>
    </xf>
    <xf numFmtId="0" fontId="15" fillId="0" borderId="34" xfId="0" applyFont="1" applyBorder="1" applyAlignment="1">
      <alignment horizontal="center" vertical="center" wrapText="1"/>
    </xf>
    <xf numFmtId="0" fontId="15" fillId="0" borderId="33" xfId="0" applyFont="1" applyBorder="1" applyAlignment="1">
      <alignment horizontal="center" vertical="center" wrapText="1"/>
    </xf>
    <xf numFmtId="0" fontId="15" fillId="7" borderId="35" xfId="0" applyFont="1" applyFill="1" applyBorder="1" applyAlignment="1">
      <alignment horizontal="right"/>
    </xf>
    <xf numFmtId="0" fontId="15" fillId="7" borderId="0" xfId="0" applyFont="1" applyFill="1" applyBorder="1" applyAlignment="1">
      <alignment horizontal="right"/>
    </xf>
    <xf numFmtId="0" fontId="15" fillId="0" borderId="101" xfId="0" applyFont="1" applyBorder="1" applyAlignment="1" applyProtection="1">
      <alignment horizontal="left" vertical="top" wrapText="1"/>
      <protection locked="0"/>
    </xf>
    <xf numFmtId="0" fontId="15" fillId="0" borderId="102" xfId="0" applyFont="1" applyBorder="1" applyAlignment="1" applyProtection="1">
      <alignment horizontal="left" vertical="top" wrapText="1"/>
      <protection locked="0"/>
    </xf>
    <xf numFmtId="0" fontId="15" fillId="0" borderId="103" xfId="0" applyFont="1" applyBorder="1" applyAlignment="1" applyProtection="1">
      <alignment horizontal="left" vertical="top" wrapText="1"/>
      <protection locked="0"/>
    </xf>
    <xf numFmtId="0" fontId="15" fillId="0" borderId="104" xfId="0" applyFont="1" applyBorder="1" applyAlignment="1" applyProtection="1">
      <alignment horizontal="left" vertical="top" wrapText="1"/>
      <protection locked="0"/>
    </xf>
    <xf numFmtId="0" fontId="15" fillId="0" borderId="31" xfId="0" applyFont="1" applyBorder="1" applyAlignment="1" applyProtection="1">
      <alignment horizontal="left" vertical="top" wrapText="1"/>
      <protection locked="0"/>
    </xf>
    <xf numFmtId="0" fontId="15" fillId="0" borderId="105" xfId="0" applyFont="1" applyBorder="1" applyAlignment="1" applyProtection="1">
      <alignment horizontal="left" vertical="top" wrapText="1"/>
      <protection locked="0"/>
    </xf>
    <xf numFmtId="0" fontId="15" fillId="0" borderId="106" xfId="0" applyFont="1" applyBorder="1" applyAlignment="1" applyProtection="1">
      <alignment horizontal="left" vertical="top" wrapText="1"/>
      <protection locked="0"/>
    </xf>
    <xf numFmtId="0" fontId="15" fillId="0" borderId="107" xfId="0" applyFont="1" applyBorder="1" applyAlignment="1" applyProtection="1">
      <alignment horizontal="left" vertical="top" wrapText="1"/>
      <protection locked="0"/>
    </xf>
    <xf numFmtId="0" fontId="15" fillId="0" borderId="108" xfId="0" applyFont="1" applyBorder="1" applyAlignment="1" applyProtection="1">
      <alignment horizontal="left" vertical="top" wrapText="1"/>
      <protection locked="0"/>
    </xf>
    <xf numFmtId="0" fontId="16" fillId="5" borderId="109" xfId="0" applyFont="1" applyFill="1" applyBorder="1" applyAlignment="1">
      <alignment horizontal="center" vertical="center"/>
    </xf>
    <xf numFmtId="0" fontId="18" fillId="5" borderId="109" xfId="0" applyFont="1" applyFill="1" applyBorder="1" applyAlignment="1">
      <alignment horizontal="center" vertical="center"/>
    </xf>
    <xf numFmtId="0" fontId="18" fillId="5" borderId="36" xfId="0" applyFont="1" applyFill="1" applyBorder="1" applyAlignment="1">
      <alignment horizontal="center" vertical="center"/>
    </xf>
    <xf numFmtId="0" fontId="18" fillId="5" borderId="31" xfId="0" applyFont="1" applyFill="1" applyBorder="1" applyAlignment="1">
      <alignment horizontal="center" vertical="center"/>
    </xf>
    <xf numFmtId="0" fontId="18" fillId="5" borderId="39" xfId="0" applyFont="1" applyFill="1" applyBorder="1" applyAlignment="1">
      <alignment horizontal="center" vertical="center"/>
    </xf>
    <xf numFmtId="0" fontId="19" fillId="6" borderId="31" xfId="0" applyFont="1" applyFill="1" applyBorder="1" applyAlignment="1">
      <alignment horizontal="center" vertical="center" wrapText="1"/>
    </xf>
    <xf numFmtId="0" fontId="18" fillId="5" borderId="42" xfId="0" applyFont="1" applyFill="1" applyBorder="1" applyAlignment="1">
      <alignment horizontal="center" vertical="center"/>
    </xf>
    <xf numFmtId="0" fontId="15" fillId="0" borderId="110" xfId="0" applyFont="1" applyBorder="1" applyAlignment="1" applyProtection="1">
      <alignment horizontal="center" vertical="center" wrapText="1"/>
      <protection locked="0"/>
    </xf>
    <xf numFmtId="0" fontId="15" fillId="0" borderId="111" xfId="0" applyFont="1" applyBorder="1" applyAlignment="1" applyProtection="1">
      <alignment horizontal="center" vertical="center" wrapText="1"/>
      <protection locked="0"/>
    </xf>
    <xf numFmtId="0" fontId="15" fillId="0" borderId="112" xfId="0" applyFont="1" applyBorder="1" applyAlignment="1" applyProtection="1">
      <alignment horizontal="center" vertical="center" wrapText="1"/>
      <protection locked="0"/>
    </xf>
    <xf numFmtId="0" fontId="15" fillId="0" borderId="110" xfId="0" applyFont="1" applyBorder="1" applyAlignment="1" applyProtection="1">
      <alignment horizontal="center" vertical="center"/>
      <protection locked="0"/>
    </xf>
    <xf numFmtId="0" fontId="15" fillId="0" borderId="111" xfId="0" applyFont="1" applyBorder="1" applyAlignment="1" applyProtection="1">
      <alignment horizontal="center" vertical="center"/>
      <protection locked="0"/>
    </xf>
    <xf numFmtId="0" fontId="15" fillId="0" borderId="112" xfId="0" applyFont="1" applyBorder="1" applyAlignment="1" applyProtection="1">
      <alignment horizontal="center" vertical="center"/>
      <protection locked="0"/>
    </xf>
    <xf numFmtId="0" fontId="16" fillId="5" borderId="0" xfId="0" applyFont="1" applyFill="1" applyBorder="1" applyAlignment="1">
      <alignment horizontal="center" vertical="center"/>
    </xf>
    <xf numFmtId="0" fontId="16" fillId="5" borderId="0" xfId="0" applyFont="1" applyFill="1" applyAlignment="1">
      <alignment horizontal="center" vertical="center"/>
    </xf>
    <xf numFmtId="0" fontId="16" fillId="5" borderId="43" xfId="0" applyFont="1" applyFill="1" applyBorder="1" applyAlignment="1">
      <alignment horizontal="center" vertical="center"/>
    </xf>
    <xf numFmtId="0" fontId="16" fillId="5" borderId="40" xfId="0" applyFont="1" applyFill="1" applyBorder="1" applyAlignment="1">
      <alignment horizontal="center" vertical="center"/>
    </xf>
    <xf numFmtId="0" fontId="15" fillId="0" borderId="104" xfId="0" applyFont="1" applyBorder="1" applyAlignment="1" applyProtection="1">
      <alignment horizontal="center" vertical="center" wrapText="1"/>
    </xf>
    <xf numFmtId="0" fontId="15" fillId="0" borderId="31" xfId="0" applyFont="1" applyBorder="1" applyAlignment="1" applyProtection="1">
      <alignment horizontal="center" vertical="center" wrapText="1"/>
    </xf>
    <xf numFmtId="0" fontId="15" fillId="0" borderId="46" xfId="0" applyFont="1" applyBorder="1" applyAlignment="1" applyProtection="1">
      <alignment horizontal="center"/>
      <protection locked="0"/>
    </xf>
    <xf numFmtId="0" fontId="15" fillId="7" borderId="97" xfId="0" applyFont="1" applyFill="1" applyBorder="1" applyAlignment="1">
      <alignment horizontal="center"/>
    </xf>
    <xf numFmtId="0" fontId="15" fillId="7" borderId="98" xfId="0" applyFont="1" applyFill="1" applyBorder="1" applyAlignment="1">
      <alignment horizontal="center"/>
    </xf>
    <xf numFmtId="0" fontId="15" fillId="7" borderId="99" xfId="0" applyFont="1" applyFill="1" applyBorder="1" applyAlignment="1">
      <alignment horizontal="center"/>
    </xf>
    <xf numFmtId="0" fontId="15" fillId="7" borderId="60" xfId="0" applyFont="1" applyFill="1" applyBorder="1" applyAlignment="1">
      <alignment horizontal="center"/>
    </xf>
    <xf numFmtId="0" fontId="15" fillId="7" borderId="61" xfId="0" applyFont="1" applyFill="1" applyBorder="1" applyAlignment="1">
      <alignment horizontal="center"/>
    </xf>
    <xf numFmtId="0" fontId="15" fillId="7" borderId="62" xfId="0" applyFont="1" applyFill="1" applyBorder="1" applyAlignment="1">
      <alignment horizontal="center"/>
    </xf>
    <xf numFmtId="0" fontId="15" fillId="0" borderId="45" xfId="0" applyFont="1" applyBorder="1" applyAlignment="1" applyProtection="1">
      <alignment horizontal="center"/>
      <protection locked="0"/>
    </xf>
    <xf numFmtId="0" fontId="15" fillId="0" borderId="47" xfId="0" applyFont="1" applyBorder="1" applyAlignment="1" applyProtection="1">
      <alignment horizontal="center"/>
      <protection locked="0"/>
    </xf>
    <xf numFmtId="0" fontId="16" fillId="5" borderId="36" xfId="0" applyFont="1" applyFill="1" applyBorder="1" applyAlignment="1">
      <alignment horizontal="center" vertical="center"/>
    </xf>
    <xf numFmtId="0" fontId="16" fillId="5" borderId="36" xfId="0" applyFont="1" applyFill="1" applyBorder="1" applyAlignment="1">
      <alignment horizontal="center" vertical="center" wrapText="1"/>
    </xf>
    <xf numFmtId="0" fontId="16" fillId="5" borderId="37" xfId="0" applyFont="1" applyFill="1" applyBorder="1" applyAlignment="1">
      <alignment horizontal="center" vertical="center"/>
    </xf>
    <xf numFmtId="0" fontId="18" fillId="5" borderId="30" xfId="0" applyFont="1" applyFill="1" applyBorder="1" applyAlignment="1">
      <alignment horizontal="center" vertical="center"/>
    </xf>
    <xf numFmtId="0" fontId="21" fillId="7" borderId="37" xfId="0" applyFont="1" applyFill="1" applyBorder="1" applyAlignment="1">
      <alignment horizontal="center" vertical="center" wrapText="1"/>
    </xf>
    <xf numFmtId="0" fontId="21" fillId="7" borderId="40" xfId="0" applyFont="1" applyFill="1" applyBorder="1" applyAlignment="1">
      <alignment horizontal="center" vertical="center"/>
    </xf>
    <xf numFmtId="0" fontId="21" fillId="7" borderId="38" xfId="0" applyFont="1" applyFill="1" applyBorder="1" applyAlignment="1">
      <alignment horizontal="center" vertical="center" wrapText="1"/>
    </xf>
    <xf numFmtId="0" fontId="21" fillId="7" borderId="41" xfId="0" applyFont="1" applyFill="1" applyBorder="1" applyAlignment="1">
      <alignment horizontal="center" vertical="center"/>
    </xf>
    <xf numFmtId="0" fontId="15" fillId="0" borderId="36" xfId="0" applyFont="1" applyBorder="1" applyAlignment="1">
      <alignment horizontal="center" vertical="center"/>
    </xf>
    <xf numFmtId="0" fontId="15" fillId="0" borderId="39" xfId="0" applyFont="1" applyBorder="1" applyAlignment="1">
      <alignment horizontal="center" vertical="center"/>
    </xf>
    <xf numFmtId="0" fontId="15" fillId="0" borderId="36" xfId="0" applyFont="1" applyBorder="1" applyAlignment="1">
      <alignment horizontal="center" vertical="center" wrapText="1"/>
    </xf>
    <xf numFmtId="0" fontId="15" fillId="0" borderId="39" xfId="0" applyFont="1" applyBorder="1" applyAlignment="1">
      <alignment horizontal="center" vertical="center" wrapText="1"/>
    </xf>
    <xf numFmtId="0" fontId="15" fillId="7" borderId="43" xfId="0" applyFont="1" applyFill="1" applyBorder="1" applyAlignment="1">
      <alignment horizontal="center"/>
    </xf>
    <xf numFmtId="0" fontId="15" fillId="7" borderId="40" xfId="0" applyFont="1" applyFill="1" applyBorder="1" applyAlignment="1">
      <alignment horizontal="center"/>
    </xf>
    <xf numFmtId="0" fontId="15" fillId="7" borderId="48" xfId="0" applyFont="1" applyFill="1" applyBorder="1" applyAlignment="1">
      <alignment horizontal="center"/>
    </xf>
    <xf numFmtId="0" fontId="15" fillId="7" borderId="41" xfId="0" applyFont="1" applyFill="1" applyBorder="1" applyAlignment="1">
      <alignment horizontal="center"/>
    </xf>
    <xf numFmtId="0" fontId="16" fillId="5" borderId="116" xfId="0" applyFont="1" applyFill="1" applyBorder="1" applyAlignment="1">
      <alignment horizontal="center" vertical="center"/>
    </xf>
    <xf numFmtId="0" fontId="16" fillId="5" borderId="114" xfId="0" applyFont="1" applyFill="1" applyBorder="1" applyAlignment="1">
      <alignment horizontal="center" vertical="center"/>
    </xf>
    <xf numFmtId="0" fontId="18" fillId="5" borderId="29" xfId="0" applyFont="1" applyFill="1" applyBorder="1" applyAlignment="1">
      <alignment horizontal="center" vertical="center"/>
    </xf>
    <xf numFmtId="0" fontId="18" fillId="5" borderId="0" xfId="0" applyFont="1" applyFill="1" applyBorder="1" applyAlignment="1">
      <alignment horizontal="center" vertical="center"/>
    </xf>
    <xf numFmtId="0" fontId="15" fillId="0" borderId="31" xfId="0" applyFont="1" applyBorder="1" applyAlignment="1">
      <alignment horizontal="center" vertical="center"/>
    </xf>
    <xf numFmtId="0" fontId="15" fillId="0" borderId="36" xfId="0" applyFont="1" applyBorder="1" applyAlignment="1" applyProtection="1">
      <alignment horizontal="left" vertical="top" wrapText="1"/>
      <protection locked="0"/>
    </xf>
    <xf numFmtId="0" fontId="18" fillId="5" borderId="32" xfId="0" applyFont="1" applyFill="1" applyBorder="1" applyAlignment="1">
      <alignment horizontal="center" vertical="center"/>
    </xf>
    <xf numFmtId="0" fontId="19"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15" fillId="0" borderId="43" xfId="0" applyFont="1" applyBorder="1" applyAlignment="1">
      <alignment horizontal="center" vertical="center"/>
    </xf>
    <xf numFmtId="0" fontId="15" fillId="0" borderId="48" xfId="0" applyFont="1" applyBorder="1" applyAlignment="1">
      <alignment horizontal="center" vertical="center"/>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18" fillId="5" borderId="32" xfId="0" applyFont="1" applyFill="1" applyBorder="1" applyAlignment="1">
      <alignment horizontal="center" vertical="center" wrapText="1"/>
    </xf>
    <xf numFmtId="0" fontId="18" fillId="5" borderId="34" xfId="0" applyFont="1" applyFill="1" applyBorder="1" applyAlignment="1">
      <alignment horizontal="center" vertical="center" wrapText="1"/>
    </xf>
    <xf numFmtId="0" fontId="18" fillId="5" borderId="33" xfId="0" applyFont="1" applyFill="1" applyBorder="1" applyAlignment="1">
      <alignment horizontal="center" vertical="center" wrapText="1"/>
    </xf>
    <xf numFmtId="0" fontId="15" fillId="7" borderId="54" xfId="0" applyFont="1" applyFill="1" applyBorder="1" applyAlignment="1">
      <alignment horizontal="center" vertical="center"/>
    </xf>
    <xf numFmtId="0" fontId="15" fillId="7" borderId="55" xfId="0" applyFont="1" applyFill="1" applyBorder="1" applyAlignment="1">
      <alignment horizontal="center" vertical="center"/>
    </xf>
    <xf numFmtId="0" fontId="15" fillId="7" borderId="56" xfId="0" applyFont="1" applyFill="1" applyBorder="1" applyAlignment="1">
      <alignment horizontal="center" vertical="center"/>
    </xf>
    <xf numFmtId="0" fontId="15" fillId="0" borderId="35" xfId="0" applyFont="1" applyBorder="1" applyAlignment="1">
      <alignment horizontal="center" vertical="center"/>
    </xf>
    <xf numFmtId="0" fontId="15" fillId="0" borderId="0" xfId="0" applyFont="1" applyBorder="1" applyAlignment="1">
      <alignment horizontal="center" vertical="center"/>
    </xf>
    <xf numFmtId="0" fontId="15" fillId="0" borderId="44" xfId="0" applyFont="1" applyBorder="1" applyAlignment="1">
      <alignment horizontal="center" vertical="center"/>
    </xf>
    <xf numFmtId="0" fontId="18" fillId="5" borderId="34" xfId="0" applyFont="1" applyFill="1" applyBorder="1" applyAlignment="1">
      <alignment horizontal="center" vertical="center"/>
    </xf>
    <xf numFmtId="0" fontId="18" fillId="5" borderId="33" xfId="0" applyFont="1" applyFill="1" applyBorder="1" applyAlignment="1">
      <alignment horizontal="center" vertical="center"/>
    </xf>
    <xf numFmtId="0" fontId="17" fillId="0" borderId="33" xfId="0" applyFont="1" applyBorder="1" applyAlignment="1">
      <alignment horizontal="center" vertical="center"/>
    </xf>
    <xf numFmtId="0" fontId="17" fillId="0" borderId="31" xfId="0" applyFont="1" applyBorder="1" applyAlignment="1">
      <alignment horizontal="center" vertical="center"/>
    </xf>
    <xf numFmtId="0" fontId="15" fillId="0" borderId="31" xfId="0" applyFont="1" applyBorder="1" applyAlignment="1">
      <alignment horizontal="center" vertical="center" wrapText="1"/>
    </xf>
    <xf numFmtId="0" fontId="17" fillId="0" borderId="31" xfId="0" applyFont="1" applyBorder="1" applyAlignment="1">
      <alignment horizontal="center" vertical="center" wrapText="1"/>
    </xf>
    <xf numFmtId="0" fontId="15" fillId="7" borderId="0" xfId="0" applyFont="1" applyFill="1" applyBorder="1" applyAlignment="1">
      <alignment horizontal="center" vertical="center" wrapText="1"/>
    </xf>
    <xf numFmtId="0" fontId="15" fillId="7" borderId="44" xfId="0" applyFont="1" applyFill="1" applyBorder="1" applyAlignment="1">
      <alignment horizontal="center"/>
    </xf>
    <xf numFmtId="0" fontId="5" fillId="7" borderId="0" xfId="0" applyFont="1" applyFill="1" applyAlignment="1">
      <alignment horizontal="center"/>
    </xf>
    <xf numFmtId="0" fontId="18" fillId="5" borderId="12" xfId="0" applyFont="1" applyFill="1" applyBorder="1" applyAlignment="1">
      <alignment horizontal="center"/>
    </xf>
    <xf numFmtId="0" fontId="26" fillId="5" borderId="0" xfId="0" applyFont="1" applyFill="1" applyAlignment="1" applyProtection="1">
      <alignment horizontal="center"/>
    </xf>
    <xf numFmtId="0" fontId="5" fillId="7" borderId="8" xfId="0" applyFont="1" applyFill="1" applyBorder="1" applyAlignment="1">
      <alignment horizontal="center"/>
    </xf>
    <xf numFmtId="0" fontId="5" fillId="0" borderId="0" xfId="0" applyFont="1" applyAlignment="1">
      <alignment horizontal="center"/>
    </xf>
    <xf numFmtId="0" fontId="5" fillId="7" borderId="0" xfId="0" applyFont="1" applyFill="1" applyAlignment="1">
      <alignment horizontal="center" vertical="center"/>
    </xf>
    <xf numFmtId="0" fontId="5" fillId="7" borderId="8" xfId="0" applyFont="1" applyFill="1" applyBorder="1" applyAlignment="1">
      <alignment horizontal="center" vertical="center"/>
    </xf>
    <xf numFmtId="0" fontId="5" fillId="0" borderId="0" xfId="0" applyFont="1" applyAlignment="1">
      <alignment horizontal="center" vertical="center"/>
    </xf>
    <xf numFmtId="0" fontId="5" fillId="7" borderId="87" xfId="0" applyFont="1" applyFill="1" applyBorder="1" applyAlignment="1">
      <alignment horizontal="center"/>
    </xf>
    <xf numFmtId="0" fontId="8" fillId="7" borderId="90" xfId="0" applyFont="1" applyFill="1" applyBorder="1" applyAlignment="1">
      <alignment horizontal="center" vertical="center" wrapText="1"/>
    </xf>
    <xf numFmtId="0" fontId="8" fillId="7" borderId="91" xfId="0" applyFont="1" applyFill="1" applyBorder="1" applyAlignment="1">
      <alignment horizontal="center" vertical="center"/>
    </xf>
    <xf numFmtId="0" fontId="5" fillId="7" borderId="90" xfId="0" applyFont="1" applyFill="1" applyBorder="1" applyAlignment="1" applyProtection="1">
      <alignment horizontal="left" vertical="center" wrapText="1"/>
    </xf>
    <xf numFmtId="0" fontId="5" fillId="7" borderId="91" xfId="0" applyFont="1" applyFill="1" applyBorder="1" applyAlignment="1" applyProtection="1">
      <alignment horizontal="left" vertical="center" wrapText="1"/>
    </xf>
    <xf numFmtId="0" fontId="5" fillId="0" borderId="0" xfId="0" applyFont="1" applyAlignment="1">
      <alignment horizontal="left" vertical="center"/>
    </xf>
    <xf numFmtId="0" fontId="5" fillId="0" borderId="89" xfId="0" applyFont="1" applyBorder="1" applyAlignment="1">
      <alignment horizontal="center"/>
    </xf>
    <xf numFmtId="0" fontId="5" fillId="7" borderId="16" xfId="0" applyFont="1" applyFill="1" applyBorder="1" applyAlignment="1">
      <alignment horizontal="center"/>
    </xf>
    <xf numFmtId="0" fontId="5" fillId="0" borderId="16" xfId="0" applyFont="1" applyBorder="1" applyAlignment="1">
      <alignment horizontal="center"/>
    </xf>
    <xf numFmtId="0" fontId="16" fillId="5" borderId="31" xfId="0" applyFont="1" applyFill="1" applyBorder="1" applyAlignment="1">
      <alignment horizontal="center" vertical="center"/>
    </xf>
    <xf numFmtId="0" fontId="15" fillId="0" borderId="31" xfId="0" applyFont="1" applyBorder="1" applyAlignment="1" applyProtection="1">
      <alignment horizontal="center" vertical="center"/>
      <protection locked="0"/>
    </xf>
    <xf numFmtId="0" fontId="15" fillId="0" borderId="31" xfId="0" applyFont="1" applyBorder="1" applyAlignment="1" applyProtection="1">
      <alignment horizontal="left" vertical="top"/>
      <protection locked="0"/>
    </xf>
    <xf numFmtId="0" fontId="16" fillId="5" borderId="35" xfId="0" applyFont="1" applyFill="1" applyBorder="1" applyAlignment="1">
      <alignment horizontal="center" vertical="center"/>
    </xf>
    <xf numFmtId="0" fontId="15" fillId="7" borderId="57" xfId="0" applyFont="1" applyFill="1" applyBorder="1" applyAlignment="1">
      <alignment horizontal="center"/>
    </xf>
    <xf numFmtId="0" fontId="15" fillId="7" borderId="58" xfId="0" applyFont="1" applyFill="1" applyBorder="1" applyAlignment="1">
      <alignment horizontal="center"/>
    </xf>
    <xf numFmtId="0" fontId="15" fillId="7" borderId="59" xfId="0" applyFont="1" applyFill="1" applyBorder="1" applyAlignment="1">
      <alignment horizontal="center"/>
    </xf>
    <xf numFmtId="0" fontId="21" fillId="7" borderId="37" xfId="0" applyFont="1" applyFill="1" applyBorder="1" applyAlignment="1">
      <alignment horizontal="center" vertical="center"/>
    </xf>
    <xf numFmtId="0" fontId="21" fillId="7" borderId="38" xfId="0" applyFont="1" applyFill="1" applyBorder="1" applyAlignment="1">
      <alignment horizontal="center" vertical="center"/>
    </xf>
    <xf numFmtId="0" fontId="15" fillId="0" borderId="37" xfId="0" applyFont="1" applyBorder="1" applyAlignment="1" applyProtection="1">
      <alignment horizontal="center"/>
      <protection locked="0"/>
    </xf>
    <xf numFmtId="0" fontId="15" fillId="0" borderId="38" xfId="0" applyFont="1" applyBorder="1" applyAlignment="1" applyProtection="1">
      <alignment horizontal="center"/>
      <protection locked="0"/>
    </xf>
    <xf numFmtId="0" fontId="15" fillId="0" borderId="40" xfId="0" applyFont="1" applyBorder="1" applyAlignment="1" applyProtection="1">
      <alignment horizontal="center"/>
      <protection locked="0"/>
    </xf>
    <xf numFmtId="0" fontId="15" fillId="0" borderId="41" xfId="0" applyFont="1" applyBorder="1" applyAlignment="1" applyProtection="1">
      <alignment horizontal="center"/>
      <protection locked="0"/>
    </xf>
    <xf numFmtId="0" fontId="15" fillId="0" borderId="31" xfId="0" applyFont="1" applyBorder="1" applyAlignment="1" applyProtection="1">
      <alignment horizontal="center"/>
      <protection locked="0"/>
    </xf>
    <xf numFmtId="0" fontId="21" fillId="7" borderId="31" xfId="0" applyFont="1" applyFill="1" applyBorder="1" applyAlignment="1">
      <alignment horizontal="center" vertical="center"/>
    </xf>
    <xf numFmtId="0" fontId="15" fillId="0" borderId="36" xfId="0" applyFont="1" applyBorder="1" applyAlignment="1" applyProtection="1">
      <alignment horizontal="center"/>
      <protection locked="0"/>
    </xf>
    <xf numFmtId="0" fontId="15" fillId="0" borderId="32" xfId="0" applyFont="1" applyBorder="1" applyAlignment="1" applyProtection="1">
      <alignment horizontal="center"/>
      <protection locked="0"/>
    </xf>
    <xf numFmtId="0" fontId="15" fillId="0" borderId="33" xfId="0" applyFont="1" applyBorder="1" applyAlignment="1" applyProtection="1">
      <alignment horizontal="center"/>
      <protection locked="0"/>
    </xf>
    <xf numFmtId="0" fontId="15" fillId="0" borderId="35" xfId="0" applyFont="1" applyBorder="1" applyAlignment="1" applyProtection="1">
      <alignment horizontal="center"/>
      <protection locked="0"/>
    </xf>
    <xf numFmtId="0" fontId="15" fillId="0" borderId="43" xfId="0" applyFont="1" applyBorder="1" applyAlignment="1" applyProtection="1">
      <alignment horizontal="center"/>
      <protection locked="0"/>
    </xf>
    <xf numFmtId="0" fontId="15" fillId="0" borderId="0" xfId="0" applyFont="1" applyBorder="1" applyAlignment="1" applyProtection="1">
      <alignment horizontal="center"/>
      <protection locked="0"/>
    </xf>
    <xf numFmtId="0" fontId="15" fillId="0" borderId="44" xfId="0" applyFont="1" applyBorder="1" applyAlignment="1" applyProtection="1">
      <alignment horizontal="center"/>
      <protection locked="0"/>
    </xf>
    <xf numFmtId="0" fontId="18" fillId="6" borderId="31" xfId="0" applyFont="1" applyFill="1" applyBorder="1" applyAlignment="1" applyProtection="1">
      <alignment horizontal="center" vertical="center" wrapText="1"/>
      <protection locked="0"/>
    </xf>
    <xf numFmtId="0" fontId="15" fillId="0" borderId="31" xfId="0" applyFont="1" applyBorder="1" applyAlignment="1" applyProtection="1">
      <alignment horizontal="left" vertical="center"/>
      <protection locked="0"/>
    </xf>
    <xf numFmtId="0" fontId="15" fillId="0" borderId="36" xfId="0" applyFont="1" applyBorder="1" applyAlignment="1" applyProtection="1">
      <alignment horizontal="left" vertical="center"/>
      <protection locked="0"/>
    </xf>
    <xf numFmtId="0" fontId="15" fillId="0" borderId="48" xfId="0" applyFont="1" applyBorder="1" applyAlignment="1" applyProtection="1">
      <alignment horizontal="center"/>
      <protection locked="0"/>
    </xf>
    <xf numFmtId="0" fontId="15" fillId="7" borderId="49" xfId="0" applyFont="1" applyFill="1" applyBorder="1" applyAlignment="1">
      <alignment horizontal="center" vertical="center"/>
    </xf>
    <xf numFmtId="0" fontId="15" fillId="7" borderId="50" xfId="0" applyFont="1" applyFill="1" applyBorder="1" applyAlignment="1">
      <alignment horizontal="center" vertical="center"/>
    </xf>
    <xf numFmtId="0" fontId="15" fillId="7" borderId="51" xfId="0" applyFont="1" applyFill="1" applyBorder="1" applyAlignment="1">
      <alignment horizontal="center" vertical="center"/>
    </xf>
    <xf numFmtId="0" fontId="15" fillId="0" borderId="34" xfId="0" applyFont="1" applyBorder="1" applyAlignment="1" applyProtection="1">
      <alignment horizontal="center" vertical="center" wrapText="1"/>
      <protection locked="0"/>
    </xf>
    <xf numFmtId="0" fontId="15" fillId="0" borderId="33" xfId="0" applyFont="1" applyBorder="1" applyAlignment="1" applyProtection="1">
      <alignment horizontal="center" vertical="center" wrapText="1"/>
      <protection locked="0"/>
    </xf>
    <xf numFmtId="0" fontId="13" fillId="0" borderId="0" xfId="0" applyFont="1" applyAlignment="1">
      <alignment horizontal="center"/>
    </xf>
    <xf numFmtId="0" fontId="5" fillId="0" borderId="0" xfId="0" applyFont="1" applyAlignment="1">
      <alignment horizontal="left" vertical="top" wrapText="1"/>
    </xf>
    <xf numFmtId="0" fontId="5" fillId="0" borderId="0" xfId="0" applyFont="1" applyAlignment="1">
      <alignment horizontal="left"/>
    </xf>
    <xf numFmtId="0" fontId="5" fillId="0" borderId="0" xfId="0" applyFont="1" applyAlignment="1">
      <alignment horizontal="right" vertical="center"/>
    </xf>
  </cellXfs>
  <cellStyles count="5">
    <cellStyle name="Berechnung" xfId="2" builtinId="22"/>
    <cellStyle name="Eingabe" xfId="1" builtinId="20" customBuiltin="1"/>
    <cellStyle name="Link" xfId="3" builtinId="8"/>
    <cellStyle name="Schlecht" xfId="4" builtinId="27"/>
    <cellStyle name="Standard" xfId="0" builtinId="0"/>
  </cellStyles>
  <dxfs count="68">
    <dxf>
      <font>
        <color rgb="FF3F3F76"/>
      </font>
      <fill>
        <patternFill>
          <bgColor rgb="FFFFCC99"/>
        </patternFill>
      </fill>
    </dxf>
    <dxf>
      <font>
        <color rgb="FF3F3F76"/>
      </font>
      <fill>
        <patternFill>
          <bgColor rgb="FFFFCC99"/>
        </patternFill>
      </fill>
    </dxf>
    <dxf>
      <font>
        <color rgb="FF3F3F76"/>
      </font>
      <fill>
        <patternFill>
          <bgColor rgb="FFFFCC99"/>
        </patternFill>
      </fill>
    </dxf>
    <dxf>
      <font>
        <color rgb="FF3F3F76"/>
      </font>
      <fill>
        <patternFill>
          <bgColor rgb="FFFFCC99"/>
        </patternFill>
      </fill>
    </dxf>
    <dxf>
      <font>
        <color rgb="FF3F3F76"/>
      </font>
      <fill>
        <patternFill>
          <bgColor rgb="FFFFCC99"/>
        </patternFill>
      </fill>
    </dxf>
    <dxf>
      <font>
        <color rgb="FF3F3F76"/>
      </font>
      <fill>
        <patternFill>
          <bgColor rgb="FFFFCC99"/>
        </patternFill>
      </fill>
    </dxf>
    <dxf>
      <font>
        <color rgb="FF3F3F76"/>
      </font>
      <fill>
        <patternFill>
          <bgColor rgb="FFFFCC99"/>
        </patternFill>
      </fill>
    </dxf>
    <dxf>
      <font>
        <color rgb="FF3F3F76"/>
      </font>
      <fill>
        <patternFill>
          <bgColor rgb="FFFFCC99"/>
        </patternFill>
      </fill>
    </dxf>
    <dxf>
      <font>
        <color rgb="FF3F3F76"/>
      </font>
      <fill>
        <patternFill>
          <bgColor rgb="FFFFCC99"/>
        </patternFill>
      </fill>
    </dxf>
    <dxf>
      <font>
        <color rgb="FF3F3F76"/>
      </font>
      <fill>
        <patternFill>
          <bgColor rgb="FFFFCC99"/>
        </patternFill>
      </fill>
    </dxf>
    <dxf>
      <font>
        <color rgb="FF3F3F76"/>
      </font>
      <fill>
        <patternFill>
          <bgColor rgb="FFFFCC99"/>
        </patternFill>
      </fill>
    </dxf>
    <dxf>
      <font>
        <color rgb="FF3F3F76"/>
      </font>
      <fill>
        <patternFill>
          <bgColor rgb="FFFFCC99"/>
        </patternFill>
      </fill>
    </dxf>
    <dxf>
      <font>
        <color rgb="FF3F3F76"/>
      </font>
      <fill>
        <patternFill>
          <bgColor rgb="FFFFCC99"/>
        </patternFill>
      </fill>
    </dxf>
    <dxf>
      <font>
        <color rgb="FF3F3F76"/>
      </font>
      <fill>
        <patternFill>
          <bgColor rgb="FFFFCC99"/>
        </patternFill>
      </fill>
    </dxf>
    <dxf>
      <font>
        <color rgb="FF3F3F76"/>
      </font>
      <fill>
        <patternFill>
          <bgColor rgb="FFFFCC99"/>
        </patternFill>
      </fill>
    </dxf>
    <dxf>
      <font>
        <color rgb="FF3F3F76"/>
      </font>
      <fill>
        <patternFill>
          <bgColor rgb="FFFFCC99"/>
        </patternFill>
      </fill>
    </dxf>
    <dxf>
      <font>
        <color rgb="FF3F3F76"/>
      </font>
      <fill>
        <patternFill>
          <bgColor rgb="FFFFCC99"/>
        </patternFill>
      </fill>
    </dxf>
    <dxf>
      <font>
        <color rgb="FF3F3F76"/>
      </font>
      <fill>
        <patternFill>
          <bgColor rgb="FFFFCC99"/>
        </patternFill>
      </fill>
    </dxf>
    <dxf>
      <font>
        <color rgb="FF3F3F76"/>
      </font>
      <fill>
        <patternFill>
          <bgColor rgb="FFFFCC99"/>
        </patternFill>
      </fill>
    </dxf>
    <dxf>
      <font>
        <color rgb="FF3F3F76"/>
      </font>
      <fill>
        <patternFill>
          <bgColor rgb="FFFFCC99"/>
        </patternFill>
      </fill>
    </dxf>
    <dxf>
      <font>
        <color rgb="FF3F3F76"/>
      </font>
      <fill>
        <patternFill>
          <bgColor rgb="FFFFCC99"/>
        </patternFill>
      </fill>
    </dxf>
    <dxf>
      <font>
        <color rgb="FF3F3F76"/>
      </font>
      <fill>
        <patternFill>
          <bgColor rgb="FFFFCC99"/>
        </patternFill>
      </fill>
    </dxf>
    <dxf>
      <font>
        <color rgb="FF3F3F76"/>
      </font>
      <fill>
        <patternFill>
          <bgColor rgb="FFFFCC99"/>
        </patternFill>
      </fill>
    </dxf>
    <dxf>
      <font>
        <color rgb="FF3F3F76"/>
      </font>
      <fill>
        <patternFill>
          <bgColor rgb="FFFFCC99"/>
        </patternFill>
      </fill>
    </dxf>
    <dxf>
      <font>
        <color rgb="FF3F3F76"/>
      </font>
      <fill>
        <patternFill>
          <bgColor rgb="FFFFCC99"/>
        </patternFill>
      </fill>
    </dxf>
    <dxf>
      <font>
        <color rgb="FF3F3F76"/>
      </font>
      <fill>
        <patternFill>
          <bgColor rgb="FFFFCC99"/>
        </patternFill>
      </fill>
    </dxf>
    <dxf>
      <font>
        <color rgb="FF3F3F76"/>
      </font>
      <fill>
        <patternFill>
          <bgColor rgb="FFFFCC99"/>
        </patternFill>
      </fill>
    </dxf>
    <dxf>
      <font>
        <color rgb="FF3F3F76"/>
      </font>
      <fill>
        <patternFill>
          <bgColor rgb="FFFFCC99"/>
        </patternFill>
      </fill>
    </dxf>
    <dxf>
      <font>
        <color rgb="FF3F3F76"/>
      </font>
      <fill>
        <patternFill>
          <bgColor rgb="FFFFCC99"/>
        </patternFill>
      </fill>
    </dxf>
    <dxf>
      <font>
        <color rgb="FF3F3F76"/>
      </font>
      <fill>
        <patternFill>
          <bgColor rgb="FFFFCC99"/>
        </patternFill>
      </fill>
    </dxf>
    <dxf>
      <fill>
        <patternFill>
          <bgColor rgb="FFFF0000"/>
        </patternFill>
      </fill>
    </dxf>
    <dxf>
      <fill>
        <patternFill>
          <bgColor rgb="FFFF0000"/>
        </patternFill>
      </fill>
    </dxf>
    <dxf>
      <font>
        <color rgb="FF3F3F76"/>
      </font>
      <fill>
        <patternFill>
          <bgColor rgb="FFFFCC99"/>
        </patternFill>
      </fill>
    </dxf>
    <dxf>
      <font>
        <color rgb="FF3F3F76"/>
      </font>
      <fill>
        <patternFill>
          <bgColor rgb="FFFFCC99"/>
        </patternFill>
      </fill>
    </dxf>
    <dxf>
      <font>
        <color rgb="FF3F3F76"/>
      </font>
      <fill>
        <patternFill>
          <bgColor rgb="FFFFCC99"/>
        </patternFill>
      </fill>
    </dxf>
    <dxf>
      <font>
        <color rgb="FF3F3F76"/>
      </font>
      <fill>
        <patternFill>
          <bgColor rgb="FFFFCC99"/>
        </patternFill>
      </fill>
    </dxf>
    <dxf>
      <fill>
        <patternFill>
          <bgColor rgb="FFFF0000"/>
        </patternFill>
      </fill>
    </dxf>
    <dxf>
      <font>
        <color rgb="FF3F3F76"/>
      </font>
      <fill>
        <patternFill>
          <bgColor rgb="FFFFCC99"/>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s>
  <tableStyles count="1" defaultTableStyle="TableStyleMedium2" defaultPivotStyle="PivotStyleLight16">
    <tableStyle name="MySqlDefault" pivot="0" table="0" count="0"/>
  </tableStyles>
  <colors>
    <mruColors>
      <color rgb="FFCDFFFF"/>
      <color rgb="FF3F3F76"/>
      <color rgb="FF9C0006"/>
      <color rgb="FFFFC7CE"/>
      <color rgb="FF009999"/>
      <color rgb="FFFFCC99"/>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jaegers.net/"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jaegers.ne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jaegers.ne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amazon.de/Das-Lied-von-Eis-Feuer/dp/3961880026/ref=as_li_ss_tl?s=books&amp;ie=UTF8&amp;qid=1503580928&amp;sr=1-1&amp;keywords=dragons+hoard&amp;linkCode=ll1&amp;tag=jaegersnet&amp;linkId=9775942404782eb227e0b87622a50b0b" TargetMode="External"/><Relationship Id="rId3" Type="http://schemas.openxmlformats.org/officeDocument/2006/relationships/hyperlink" Target="http://www.amazon.de/gp/product/3939212237/ref=as_li_tl?ie=UTF8&amp;camp=1638&amp;creative=19454&amp;creativeASIN=3939212237&amp;linkCode=as2&amp;tag=jaegersnet" TargetMode="External"/><Relationship Id="rId7" Type="http://schemas.openxmlformats.org/officeDocument/2006/relationships/hyperlink" Target="http://www.amazon.de/gp/product/393921292X/ref=as_li_tl?ie=UTF8&amp;camp=1638&amp;creative=19454&amp;creativeASIN=393921292X&amp;linkCode=as2&amp;tag=jaegersnet" TargetMode="External"/><Relationship Id="rId2" Type="http://schemas.openxmlformats.org/officeDocument/2006/relationships/hyperlink" Target="http://www.amazon.de/gp/product/3939212318/ref=as_li_tl?ie=UTF8&amp;camp=1638&amp;creative=19454&amp;creativeASIN=3939212318&amp;linkCode=as2&amp;tag=jaegersnet" TargetMode="External"/><Relationship Id="rId1" Type="http://schemas.openxmlformats.org/officeDocument/2006/relationships/hyperlink" Target="http://www.jaegers.net/" TargetMode="External"/><Relationship Id="rId6" Type="http://schemas.openxmlformats.org/officeDocument/2006/relationships/hyperlink" Target="http://www.amazon.de/gp/product/393921258X/ref=as_li_tl?ie=UTF8&amp;camp=1638&amp;creative=19454&amp;creativeASIN=393921258X&amp;linkCode=as2&amp;tag=jaegersnet" TargetMode="External"/><Relationship Id="rId5" Type="http://schemas.openxmlformats.org/officeDocument/2006/relationships/hyperlink" Target="http://www.amazon.de/gp/product/3939212512/ref=as_li_tl?ie=UTF8&amp;camp=1638&amp;creative=19454&amp;creativeASIN=3939212512&amp;linkCode=as2&amp;tag=jaegersnet" TargetMode="External"/><Relationship Id="rId4" Type="http://schemas.openxmlformats.org/officeDocument/2006/relationships/hyperlink" Target="http://www.amazon.de/gp/product/393921244X/ref=as_li_tl?ie=UTF8&amp;camp=1638&amp;creative=19454&amp;creativeASIN=393921244X&amp;linkCode=as2&amp;tag=jaegers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showGridLines="0" showZeros="0" tabSelected="1" workbookViewId="0">
      <selection activeCell="H3" sqref="H3"/>
    </sheetView>
  </sheetViews>
  <sheetFormatPr baseColWidth="10" defaultRowHeight="15" x14ac:dyDescent="0.25"/>
  <cols>
    <col min="1" max="1" width="17.5703125" style="12" customWidth="1"/>
    <col min="2" max="2" width="36.85546875" style="3" bestFit="1" customWidth="1"/>
    <col min="3" max="3" width="11" style="3" customWidth="1"/>
    <col min="4" max="5" width="10.85546875" style="6" bestFit="1" customWidth="1"/>
    <col min="6" max="6" width="7.7109375" style="3" customWidth="1"/>
    <col min="7" max="7" width="11.42578125" style="3"/>
    <col min="8" max="8" width="38.5703125" style="3" bestFit="1" customWidth="1"/>
    <col min="9" max="9" width="69.28515625" style="3" customWidth="1"/>
    <col min="10" max="16384" width="11.42578125" style="3"/>
  </cols>
  <sheetData>
    <row r="1" spans="1:8" ht="26.25" x14ac:dyDescent="0.4">
      <c r="A1" s="263" t="s">
        <v>329</v>
      </c>
      <c r="B1" s="263"/>
      <c r="C1" s="263"/>
      <c r="D1" s="263"/>
      <c r="E1" s="263"/>
      <c r="F1" s="263"/>
      <c r="G1" s="263"/>
      <c r="H1" s="263"/>
    </row>
    <row r="2" spans="1:8" ht="15" customHeight="1" x14ac:dyDescent="0.4">
      <c r="A2" s="13"/>
      <c r="B2" s="13"/>
      <c r="C2" s="13"/>
      <c r="D2" s="13"/>
      <c r="E2" s="13"/>
      <c r="F2" s="13"/>
      <c r="G2" s="13"/>
      <c r="H2" s="13"/>
    </row>
    <row r="3" spans="1:8" x14ac:dyDescent="0.25">
      <c r="A3" s="267" t="s">
        <v>271</v>
      </c>
      <c r="B3" s="267"/>
      <c r="C3" s="268" t="s">
        <v>316</v>
      </c>
      <c r="D3" s="268"/>
      <c r="E3" s="268"/>
      <c r="F3" s="268"/>
      <c r="G3" s="268"/>
      <c r="H3" s="22" t="s">
        <v>941</v>
      </c>
    </row>
    <row r="4" spans="1:8" ht="15.75" thickBot="1" x14ac:dyDescent="0.3">
      <c r="H4" s="22"/>
    </row>
    <row r="5" spans="1:8" ht="45" customHeight="1" x14ac:dyDescent="0.25">
      <c r="A5" s="264" t="s">
        <v>143</v>
      </c>
      <c r="B5" s="273" t="s">
        <v>601</v>
      </c>
      <c r="C5" s="273"/>
      <c r="D5" s="273"/>
      <c r="E5" s="273"/>
      <c r="F5" s="273"/>
      <c r="G5" s="273"/>
      <c r="H5" s="274"/>
    </row>
    <row r="6" spans="1:8" ht="15.75" thickBot="1" x14ac:dyDescent="0.3">
      <c r="A6" s="265"/>
      <c r="B6" s="28" t="s">
        <v>147</v>
      </c>
      <c r="C6" s="269" t="s">
        <v>598</v>
      </c>
      <c r="D6" s="269"/>
      <c r="E6" s="269"/>
      <c r="F6" s="269"/>
      <c r="G6" s="275" t="s">
        <v>148</v>
      </c>
      <c r="H6" s="276"/>
    </row>
    <row r="7" spans="1:8" ht="15.75" thickBot="1" x14ac:dyDescent="0.3"/>
    <row r="8" spans="1:8" s="7" customFormat="1" x14ac:dyDescent="0.25">
      <c r="A8" s="12"/>
      <c r="B8" s="36" t="s">
        <v>144</v>
      </c>
      <c r="C8" s="223" t="s">
        <v>719</v>
      </c>
      <c r="D8" s="270" t="s">
        <v>146</v>
      </c>
      <c r="E8" s="271"/>
      <c r="F8" s="272"/>
      <c r="H8" s="36" t="s">
        <v>145</v>
      </c>
    </row>
    <row r="9" spans="1:8" x14ac:dyDescent="0.25">
      <c r="B9" s="37"/>
      <c r="D9" s="56"/>
      <c r="E9" s="57"/>
      <c r="F9" s="58"/>
      <c r="H9" s="37"/>
    </row>
    <row r="10" spans="1:8" x14ac:dyDescent="0.25">
      <c r="A10" s="15" t="s">
        <v>30</v>
      </c>
      <c r="B10" s="38"/>
      <c r="D10" s="56"/>
      <c r="E10" s="57"/>
      <c r="F10" s="58"/>
      <c r="H10" s="49">
        <f>B10</f>
        <v>0</v>
      </c>
    </row>
    <row r="11" spans="1:8" x14ac:dyDescent="0.25">
      <c r="B11" s="37"/>
      <c r="D11" s="56"/>
      <c r="E11" s="57"/>
      <c r="F11" s="58"/>
      <c r="H11" s="37"/>
    </row>
    <row r="12" spans="1:8" ht="30" x14ac:dyDescent="0.25">
      <c r="A12" s="55" t="s">
        <v>314</v>
      </c>
      <c r="B12" s="39" t="s">
        <v>339</v>
      </c>
      <c r="D12" s="56"/>
      <c r="E12" s="57"/>
      <c r="F12" s="58"/>
      <c r="H12" s="49" t="str">
        <f>B12</f>
        <v>männlich</v>
      </c>
    </row>
    <row r="13" spans="1:8" ht="30" x14ac:dyDescent="0.25">
      <c r="A13" s="15" t="s">
        <v>315</v>
      </c>
      <c r="B13" s="38"/>
      <c r="D13" s="54" t="s">
        <v>32</v>
      </c>
      <c r="E13" s="59" t="s">
        <v>33</v>
      </c>
      <c r="F13" s="60" t="s">
        <v>149</v>
      </c>
      <c r="H13" s="49">
        <f>B13</f>
        <v>0</v>
      </c>
    </row>
    <row r="14" spans="1:8" x14ac:dyDescent="0.25">
      <c r="A14" s="34" t="s">
        <v>31</v>
      </c>
      <c r="B14" s="38"/>
      <c r="D14" s="45">
        <f ca="1">E14</f>
        <v>11</v>
      </c>
      <c r="E14" s="46">
        <f ca="1">RANDBETWEEN(1,6)+RANDBETWEEN(1,6)+RANDBETWEEN(1,6)</f>
        <v>11</v>
      </c>
      <c r="F14" s="61" t="str">
        <f>'_Tabellen und Listen'!B3</f>
        <v>3W6</v>
      </c>
      <c r="H14" s="50" t="str">
        <f ca="1">IF(B14="",VLOOKUP(D14,'_Tabellen und Listen'!A4:B13,2,TRUE),B14)</f>
        <v>Die Mondberge</v>
      </c>
    </row>
    <row r="15" spans="1:8" ht="30" customHeight="1" x14ac:dyDescent="0.25">
      <c r="A15" s="242"/>
      <c r="B15" s="38"/>
      <c r="D15" s="56"/>
      <c r="E15" s="57"/>
      <c r="F15" s="58"/>
      <c r="H15" s="50"/>
    </row>
    <row r="16" spans="1:8" ht="30" customHeight="1" x14ac:dyDescent="0.25">
      <c r="A16" s="15" t="s">
        <v>12</v>
      </c>
      <c r="B16" s="40" t="str">
        <f ca="1">VLOOKUP(H14,'_Tabellen und Listen'!B4:C13,2,FALSE)</f>
        <v>Jon Arryn, Lord über Hohenehr, Hand des Königs, Wächter des Ostens</v>
      </c>
      <c r="D16" s="56"/>
      <c r="E16" s="57"/>
      <c r="F16" s="62"/>
      <c r="H16" s="51" t="str">
        <f ca="1">IF(B15&lt;&gt;"",B15,B16)</f>
        <v>Jon Arryn, Lord über Hohenehr, Hand des Königs, Wächter des Ostens</v>
      </c>
    </row>
    <row r="17" spans="1:8" x14ac:dyDescent="0.25">
      <c r="B17" s="37"/>
      <c r="D17" s="56"/>
      <c r="E17" s="57"/>
      <c r="F17" s="62"/>
      <c r="H17" s="37"/>
    </row>
    <row r="18" spans="1:8" x14ac:dyDescent="0.25">
      <c r="A18" s="15" t="s">
        <v>34</v>
      </c>
      <c r="B18" s="38" t="s">
        <v>39</v>
      </c>
      <c r="C18" s="20">
        <f>VLOOKUP(H18,'_Tabellen und Listen'!B17:K24,10,FALSE)</f>
        <v>5</v>
      </c>
      <c r="D18" s="45">
        <f ca="1">E18</f>
        <v>13</v>
      </c>
      <c r="E18" s="46">
        <f ca="1">RANDBETWEEN(1,6)+RANDBETWEEN(1,6)+RANDBETWEEN(1,6)</f>
        <v>13</v>
      </c>
      <c r="F18" s="61" t="str">
        <f>'_Tabellen und Listen'!B16</f>
        <v>3W6</v>
      </c>
      <c r="H18" s="50" t="str">
        <f>IF(B18="",VLOOKUP(D18,Alter,2,TRUE),B18)</f>
        <v>Mittleren Alters</v>
      </c>
    </row>
    <row r="19" spans="1:8" x14ac:dyDescent="0.25">
      <c r="A19" s="34" t="s">
        <v>28</v>
      </c>
      <c r="B19" s="38"/>
      <c r="C19" s="35">
        <f ca="1">IF(B19&lt;&gt;"",VLOOKUP(B19,'_Tabellen und Listen'!A33:B52,2,FALSE),'1. Allgemeines'!H19)</f>
        <v>4</v>
      </c>
      <c r="D19" s="45">
        <f ca="1">E19</f>
        <v>9</v>
      </c>
      <c r="E19" s="46">
        <f ca="1">RANDBETWEEN(1,6)+RANDBETWEEN(1,6)</f>
        <v>9</v>
      </c>
      <c r="F19" s="61" t="str">
        <f>'_Tabellen und Listen'!B26</f>
        <v>2W6</v>
      </c>
      <c r="H19" s="50">
        <f ca="1">IF(B19="",VLOOKUP(D19,Status,2,TRUE),B19)</f>
        <v>4</v>
      </c>
    </row>
    <row r="20" spans="1:8" ht="45.75" thickBot="1" x14ac:dyDescent="0.3">
      <c r="A20" s="34" t="s">
        <v>150</v>
      </c>
      <c r="B20" s="40" t="str">
        <f ca="1">VLOOKUP(C19,'_Tabellen und Listen'!B27:C31,2,FALSE)</f>
        <v>Hochrangiges Mitglied des Hauses, Maester, jüngerer Septon, Ritter mit Grundbesitz, adliger Bastard</v>
      </c>
      <c r="D20" s="56"/>
      <c r="E20" s="57"/>
      <c r="F20" s="62"/>
      <c r="H20" s="51" t="str">
        <f ca="1">B20</f>
        <v>Hochrangiges Mitglied des Hauses, Maester, jüngerer Septon, Ritter mit Grundbesitz, adliger Bastard</v>
      </c>
    </row>
    <row r="21" spans="1:8" ht="180.75" customHeight="1" thickBot="1" x14ac:dyDescent="0.3">
      <c r="A21" s="259" t="s">
        <v>913</v>
      </c>
      <c r="B21" s="260" t="s">
        <v>375</v>
      </c>
      <c r="D21" s="277" t="s">
        <v>926</v>
      </c>
      <c r="E21" s="278"/>
      <c r="F21" s="279"/>
      <c r="H21" s="258" t="str">
        <f>B21</f>
        <v>nein</v>
      </c>
    </row>
    <row r="22" spans="1:8" x14ac:dyDescent="0.25">
      <c r="B22" s="37"/>
      <c r="D22" s="56"/>
      <c r="E22" s="57"/>
      <c r="F22" s="62"/>
      <c r="H22" s="37"/>
    </row>
    <row r="23" spans="1:8" x14ac:dyDescent="0.25">
      <c r="A23" s="15" t="s">
        <v>69</v>
      </c>
      <c r="B23" s="41"/>
      <c r="D23" s="56"/>
      <c r="E23" s="57"/>
      <c r="F23" s="62"/>
      <c r="H23" s="49">
        <f>B23</f>
        <v>0</v>
      </c>
    </row>
    <row r="24" spans="1:8" x14ac:dyDescent="0.25">
      <c r="A24" s="14" t="str">
        <f>IF(B23="Experte","Fachgebiet","")</f>
        <v/>
      </c>
      <c r="B24" s="39"/>
      <c r="D24" s="56"/>
      <c r="E24" s="57"/>
      <c r="F24" s="62"/>
      <c r="H24" s="49">
        <f>B24</f>
        <v>0</v>
      </c>
    </row>
    <row r="25" spans="1:8" x14ac:dyDescent="0.25">
      <c r="A25" s="15" t="s">
        <v>141</v>
      </c>
      <c r="B25" s="40" t="str">
        <f>IF(B23&lt;&gt;"",IF(A24&lt;&gt;"",B24,VLOOKUP(B23,'_Tabellen und Listen'!A55:B59,2,FALSE)),"")</f>
        <v/>
      </c>
      <c r="D25" s="56"/>
      <c r="E25" s="57"/>
      <c r="F25" s="62"/>
      <c r="H25" s="51" t="str">
        <f>B25</f>
        <v/>
      </c>
    </row>
    <row r="26" spans="1:8" x14ac:dyDescent="0.25">
      <c r="B26" s="37"/>
      <c r="D26" s="56"/>
      <c r="E26" s="57"/>
      <c r="F26" s="62"/>
      <c r="H26" s="37"/>
    </row>
    <row r="27" spans="1:8" ht="60" customHeight="1" x14ac:dyDescent="0.25">
      <c r="A27" s="15" t="s">
        <v>727</v>
      </c>
      <c r="B27" s="38"/>
      <c r="D27" s="45">
        <f ca="1">E27</f>
        <v>8</v>
      </c>
      <c r="E27" s="46">
        <f ca="1">RANDBETWEEN(1,6)+RANDBETWEEN(1,6)</f>
        <v>8</v>
      </c>
      <c r="F27" s="61" t="str">
        <f>'_Tabellen und Listen'!B$61</f>
        <v>2W6</v>
      </c>
      <c r="G27" s="234">
        <v>1</v>
      </c>
      <c r="H27" s="40" t="str">
        <f ca="1">IF(B27="",VLOOKUP(D27,'_Tabellen und Listen'!A$62:B$72,2,TRUE),B27)</f>
        <v>Du hast mit einer berühmten Person verkehrt.</v>
      </c>
    </row>
    <row r="28" spans="1:8" x14ac:dyDescent="0.25">
      <c r="B28" s="37"/>
      <c r="D28" s="56"/>
      <c r="E28" s="57"/>
      <c r="F28" s="62"/>
      <c r="H28" s="37"/>
    </row>
    <row r="29" spans="1:8" ht="60" customHeight="1" x14ac:dyDescent="0.25">
      <c r="A29" s="15" t="s">
        <v>726</v>
      </c>
      <c r="B29" s="38"/>
      <c r="D29" s="45">
        <f ca="1">E29</f>
        <v>7</v>
      </c>
      <c r="E29" s="46">
        <f ca="1">RANDBETWEEN(1,6)+RANDBETWEEN(1,6)</f>
        <v>7</v>
      </c>
      <c r="F29" s="61" t="str">
        <f>'_Tabellen und Listen'!B$61</f>
        <v>2W6</v>
      </c>
      <c r="G29" s="234">
        <f>+G27+1</f>
        <v>2</v>
      </c>
      <c r="H29" s="40" t="str">
        <f ca="1">IF(C$18&gt;=G29,IF(B29="",VLOOKUP(D29,'_Tabellen und Listen'!A$62:B$72,2,TRUE),B29),"")</f>
        <v>Du hast eine bedeutsame Tat vollbracht, vielleicht das Leben deines Lords gerettet, einen riesigen Eber erlegt und so weiter.</v>
      </c>
    </row>
    <row r="30" spans="1:8" x14ac:dyDescent="0.25">
      <c r="B30" s="37"/>
      <c r="D30" s="56"/>
      <c r="E30" s="57"/>
      <c r="F30" s="62"/>
      <c r="H30" s="37"/>
    </row>
    <row r="31" spans="1:8" ht="60" customHeight="1" x14ac:dyDescent="0.25">
      <c r="A31" s="15" t="s">
        <v>725</v>
      </c>
      <c r="B31" s="38"/>
      <c r="D31" s="45">
        <f ca="1">E31</f>
        <v>4</v>
      </c>
      <c r="E31" s="46">
        <f ca="1">RANDBETWEEN(1,6)+RANDBETWEEN(1,6)</f>
        <v>4</v>
      </c>
      <c r="F31" s="61" t="str">
        <f>'_Tabellen und Listen'!B$61</f>
        <v>2W6</v>
      </c>
      <c r="G31" s="234">
        <f>+G29+1</f>
        <v>3</v>
      </c>
      <c r="H31" s="40" t="str">
        <f ca="1">IF(C$18&gt;1,IF(B31="",VLOOKUP(D31,'_Tabellen und Listen'!A$62:B$72,2,TRUE),B31),"")</f>
        <v>Du hast in einer Schlacht gekämpft oder wurdest hineingezogen.</v>
      </c>
    </row>
    <row r="32" spans="1:8" x14ac:dyDescent="0.25">
      <c r="B32" s="37"/>
      <c r="D32" s="56"/>
      <c r="E32" s="57"/>
      <c r="F32" s="62"/>
      <c r="H32" s="37"/>
    </row>
    <row r="33" spans="1:8" ht="60" customHeight="1" x14ac:dyDescent="0.25">
      <c r="A33" s="15" t="s">
        <v>724</v>
      </c>
      <c r="B33" s="38"/>
      <c r="D33" s="45">
        <f ca="1">E33</f>
        <v>5</v>
      </c>
      <c r="E33" s="46">
        <f ca="1">RANDBETWEEN(1,6)+RANDBETWEEN(1,6)</f>
        <v>5</v>
      </c>
      <c r="F33" s="61" t="str">
        <f>'_Tabellen und Listen'!B$61</f>
        <v>2W6</v>
      </c>
      <c r="G33" s="234">
        <f>+G31+1</f>
        <v>4</v>
      </c>
      <c r="H33" s="40" t="str">
        <f ca="1">IF(C$18&gt;1,IF(B33="",VLOOKUP(D33,'_Tabellen und Listen'!A$62:B$72,2,TRUE),B33),"")</f>
        <v>Du wurdest entführt und bist geflohen, wurdest freigekauft oder gerettet.</v>
      </c>
    </row>
    <row r="34" spans="1:8" x14ac:dyDescent="0.25">
      <c r="B34" s="37"/>
      <c r="D34" s="56"/>
      <c r="E34" s="57"/>
      <c r="F34" s="62"/>
      <c r="H34" s="37"/>
    </row>
    <row r="35" spans="1:8" ht="60" customHeight="1" x14ac:dyDescent="0.25">
      <c r="A35" s="15" t="s">
        <v>723</v>
      </c>
      <c r="B35" s="38"/>
      <c r="D35" s="45">
        <f ca="1">E35</f>
        <v>7</v>
      </c>
      <c r="E35" s="46">
        <f ca="1">RANDBETWEEN(1,6)+RANDBETWEEN(1,6)</f>
        <v>7</v>
      </c>
      <c r="F35" s="61" t="str">
        <f>'_Tabellen und Listen'!B$61</f>
        <v>2W6</v>
      </c>
      <c r="G35" s="234">
        <f>+G33+1</f>
        <v>5</v>
      </c>
      <c r="H35" s="40" t="str">
        <f ca="1">IF(C$18&gt;1,IF(B35="",VLOOKUP(D35,'_Tabellen und Listen'!A$62:B$72,2,TRUE),B35),"")</f>
        <v>Du hast eine bedeutsame Tat vollbracht, vielleicht das Leben deines Lords gerettet, einen riesigen Eber erlegt und so weiter.</v>
      </c>
    </row>
    <row r="36" spans="1:8" x14ac:dyDescent="0.25">
      <c r="B36" s="37"/>
      <c r="D36" s="56"/>
      <c r="E36" s="57"/>
      <c r="F36" s="62"/>
      <c r="H36" s="37"/>
    </row>
    <row r="37" spans="1:8" ht="60" customHeight="1" x14ac:dyDescent="0.25">
      <c r="A37" s="15" t="s">
        <v>722</v>
      </c>
      <c r="B37" s="38"/>
      <c r="D37" s="45">
        <f ca="1">E37</f>
        <v>4</v>
      </c>
      <c r="E37" s="46">
        <f ca="1">RANDBETWEEN(1,6)+RANDBETWEEN(1,6)</f>
        <v>4</v>
      </c>
      <c r="F37" s="61" t="str">
        <f>'_Tabellen und Listen'!B$61</f>
        <v>2W6</v>
      </c>
      <c r="G37" s="234">
        <f>+G35+1</f>
        <v>6</v>
      </c>
      <c r="H37" s="40" t="str">
        <f ca="1">IF(C$18&gt;1,IF(B37="",VLOOKUP(D37,'_Tabellen und Listen'!A$62:B$72,2,TRUE),B37),"")</f>
        <v>Du hast in einer Schlacht gekämpft oder wurdest hineingezogen.</v>
      </c>
    </row>
    <row r="38" spans="1:8" x14ac:dyDescent="0.25">
      <c r="B38" s="37"/>
      <c r="D38" s="56"/>
      <c r="E38" s="57"/>
      <c r="F38" s="62"/>
      <c r="H38" s="37"/>
    </row>
    <row r="39" spans="1:8" ht="60" customHeight="1" x14ac:dyDescent="0.25">
      <c r="A39" s="15" t="s">
        <v>721</v>
      </c>
      <c r="B39" s="38"/>
      <c r="D39" s="45">
        <f ca="1">E39</f>
        <v>2</v>
      </c>
      <c r="E39" s="46">
        <f ca="1">RANDBETWEEN(1,6)+RANDBETWEEN(1,6)</f>
        <v>2</v>
      </c>
      <c r="F39" s="61" t="str">
        <f>'_Tabellen und Listen'!B$61</f>
        <v>2W6</v>
      </c>
      <c r="G39" s="234">
        <f>+G37+1</f>
        <v>7</v>
      </c>
      <c r="H39" s="40" t="str">
        <f ca="1">IF(C$18&gt;1,IF(B39="",VLOOKUP(D39,'_Tabellen und Listen'!A$62:B$72,2,TRUE),B39),"")</f>
        <v>Du hast einem anderen Haus gedient (Knappe, Gefolgsmann).</v>
      </c>
    </row>
    <row r="40" spans="1:8" x14ac:dyDescent="0.25">
      <c r="B40" s="37"/>
      <c r="D40" s="56"/>
      <c r="E40" s="57"/>
      <c r="F40" s="62"/>
      <c r="H40" s="37"/>
    </row>
    <row r="41" spans="1:8" ht="60" customHeight="1" x14ac:dyDescent="0.25">
      <c r="A41" s="15" t="s">
        <v>720</v>
      </c>
      <c r="B41" s="38"/>
      <c r="D41" s="45">
        <f ca="1">E41</f>
        <v>6</v>
      </c>
      <c r="E41" s="46">
        <f ca="1">RANDBETWEEN(1,6)+RANDBETWEEN(1,6)</f>
        <v>6</v>
      </c>
      <c r="F41" s="61" t="str">
        <f>'_Tabellen und Listen'!B$61</f>
        <v>2W6</v>
      </c>
      <c r="G41" s="234">
        <f>+G39+1</f>
        <v>8</v>
      </c>
      <c r="H41" s="40" t="str">
        <f ca="1">IF(C$18&gt;1,IF(B41="",VLOOKUP(D41,'_Tabellen und Listen'!A$62:B$72,2,TRUE),B41),"")</f>
        <v>Du bist einmal über die Meerenge gesegelt.</v>
      </c>
    </row>
    <row r="42" spans="1:8" x14ac:dyDescent="0.25">
      <c r="A42" s="34" t="s">
        <v>138</v>
      </c>
      <c r="B42" s="38"/>
      <c r="D42" s="45">
        <f ca="1">E42</f>
        <v>5</v>
      </c>
      <c r="E42" s="46">
        <f ca="1">RANDBETWEEN(1,6)+RANDBETWEEN(1,6)</f>
        <v>5</v>
      </c>
      <c r="F42" s="61" t="str">
        <f>'_Tabellen und Listen'!B74</f>
        <v>2W6</v>
      </c>
      <c r="H42" s="50" t="str">
        <f ca="1">IF(B42="",VLOOKUP(D42,'_Tabellen und Listen'!A75:B85,2,TRUE),B42)</f>
        <v>Wissen</v>
      </c>
    </row>
    <row r="43" spans="1:8" x14ac:dyDescent="0.25">
      <c r="A43" s="34" t="s">
        <v>139</v>
      </c>
      <c r="B43" s="38"/>
      <c r="D43" s="45">
        <f ca="1">E43</f>
        <v>5</v>
      </c>
      <c r="E43" s="46">
        <f ca="1">RANDBETWEEN(1,6)+RANDBETWEEN(1,6)</f>
        <v>5</v>
      </c>
      <c r="F43" s="61" t="str">
        <f>'_Tabellen und Listen'!B87</f>
        <v>2W6</v>
      </c>
      <c r="H43" s="50" t="str">
        <f ca="1">IF(B43="",VLOOKUP(D43,'_Tabellen und Listen'!A88:B98,2,TRUE),B43)</f>
        <v>Gier</v>
      </c>
    </row>
    <row r="44" spans="1:8" x14ac:dyDescent="0.25">
      <c r="A44" s="34" t="s">
        <v>140</v>
      </c>
      <c r="B44" s="38"/>
      <c r="D44" s="45">
        <f ca="1">E44</f>
        <v>7</v>
      </c>
      <c r="E44" s="46">
        <f ca="1">RANDBETWEEN(1,6)+RANDBETWEEN(1,6)</f>
        <v>7</v>
      </c>
      <c r="F44" s="61" t="str">
        <f>'_Tabellen und Listen'!B100</f>
        <v>2W6</v>
      </c>
      <c r="H44" s="50" t="str">
        <f ca="1">IF(B44="",VLOOKUP(D44,'_Tabellen und Listen'!A101:B111,2,TRUE),B44)</f>
        <v>Bescheiden</v>
      </c>
    </row>
    <row r="45" spans="1:8" ht="15.75" thickBot="1" x14ac:dyDescent="0.3">
      <c r="A45" s="34" t="s">
        <v>105</v>
      </c>
      <c r="B45" s="42"/>
      <c r="D45" s="47">
        <f ca="1">E45</f>
        <v>8</v>
      </c>
      <c r="E45" s="48">
        <f ca="1">RANDBETWEEN(1,6)+RANDBETWEEN(1,6)</f>
        <v>8</v>
      </c>
      <c r="F45" s="63" t="str">
        <f>'_Tabellen und Listen'!B113</f>
        <v>2W6</v>
      </c>
      <c r="H45" s="52" t="str">
        <f ca="1">IF(B45="",VLOOKUP(D45,'_Tabellen und Listen'!A114:B124,2,TRUE),B45)</f>
        <v>Unzüchtig</v>
      </c>
    </row>
    <row r="47" spans="1:8" x14ac:dyDescent="0.25">
      <c r="A47" s="266" t="s">
        <v>268</v>
      </c>
      <c r="B47" s="266"/>
    </row>
    <row r="56" ht="30" customHeight="1" x14ac:dyDescent="0.25"/>
  </sheetData>
  <sheetProtection algorithmName="SHA-512" hashValue="qMbEtrWrCTYb6BM8QghuVXHc3pavCJvNf5I5wG8JTE0FPMufPXeLdvCNMbive1Zw/lch//GG1bYl8OtQzhnpDg==" saltValue="B9po6mRYA4pZVFzS7t27bw==" spinCount="100000" sheet="1" objects="1" scenarios="1"/>
  <mergeCells count="10">
    <mergeCell ref="A1:H1"/>
    <mergeCell ref="A5:A6"/>
    <mergeCell ref="A47:B47"/>
    <mergeCell ref="A3:B3"/>
    <mergeCell ref="C3:G3"/>
    <mergeCell ref="C6:F6"/>
    <mergeCell ref="D8:F8"/>
    <mergeCell ref="B5:H5"/>
    <mergeCell ref="G6:H6"/>
    <mergeCell ref="D21:F21"/>
  </mergeCells>
  <conditionalFormatting sqref="A24:B24">
    <cfRule type="expression" dxfId="67" priority="84">
      <formula>$A$24=""</formula>
    </cfRule>
  </conditionalFormatting>
  <conditionalFormatting sqref="B28:B29">
    <cfRule type="expression" dxfId="66" priority="7">
      <formula>$C$18&lt;$G$29</formula>
    </cfRule>
  </conditionalFormatting>
  <conditionalFormatting sqref="B30:B31">
    <cfRule type="expression" dxfId="65" priority="6">
      <formula>$C$18&lt;$G$31</formula>
    </cfRule>
  </conditionalFormatting>
  <conditionalFormatting sqref="B32:B33">
    <cfRule type="expression" dxfId="64" priority="5">
      <formula>$C$18&lt;$G$33</formula>
    </cfRule>
  </conditionalFormatting>
  <conditionalFormatting sqref="B34:B35">
    <cfRule type="expression" dxfId="63" priority="4">
      <formula>$C$18&lt;$G$35</formula>
    </cfRule>
  </conditionalFormatting>
  <conditionalFormatting sqref="B36:B37">
    <cfRule type="expression" dxfId="62" priority="3">
      <formula>$C$18&lt;$G$37</formula>
    </cfRule>
  </conditionalFormatting>
  <conditionalFormatting sqref="B38:B39">
    <cfRule type="expression" dxfId="61" priority="2">
      <formula>$C$18&lt;$G$39</formula>
    </cfRule>
  </conditionalFormatting>
  <conditionalFormatting sqref="B40:B41">
    <cfRule type="expression" dxfId="60" priority="1">
      <formula>$C$18&lt;$G$41</formula>
    </cfRule>
  </conditionalFormatting>
  <dataValidations count="2">
    <dataValidation type="list" allowBlank="1" showInputMessage="1" showErrorMessage="1" sqref="B12">
      <formula1>"männlich,weiblich"</formula1>
    </dataValidation>
    <dataValidation type="list" showInputMessage="1" showErrorMessage="1" sqref="B21">
      <formula1>"ja,nein"</formula1>
    </dataValidation>
  </dataValidations>
  <hyperlinks>
    <hyperlink ref="H3" r:id="rId1" display="Version 15.8.14 © Jaegers.Net"/>
    <hyperlink ref="A47:B47" location="'2. Fähigkeiten Spezialisierung'!A1" display="Weiter im Blatt Fähigkeiten und Spezialisierung"/>
    <hyperlink ref="C3:G3" location="Rollenspielbücher!A1" display="Regelbücher und Abenteuer"/>
    <hyperlink ref="D21" location="'3. Vorteile'!B227" display="'3. Vorteile'!B227"/>
  </hyperlinks>
  <pageMargins left="0.7" right="0.7" top="0.78740157499999996" bottom="0.78740157499999996" header="0.3" footer="0.3"/>
  <pageSetup paperSize="9" orientation="portrait" horizontalDpi="0" verticalDpi="0"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'_Tabellen und Listen'!$B$4:$B$13</xm:f>
          </x14:formula1>
          <xm:sqref>B14</xm:sqref>
        </x14:dataValidation>
        <x14:dataValidation type="list" allowBlank="1" showInputMessage="1" showErrorMessage="1">
          <x14:formula1>
            <xm:f>'_Tabellen und Listen'!$A$33:$A$52</xm:f>
          </x14:formula1>
          <xm:sqref>B19</xm:sqref>
        </x14:dataValidation>
        <x14:dataValidation type="list" allowBlank="1" showInputMessage="1">
          <x14:formula1>
            <xm:f>'_Tabellen und Listen'!$B$62:$B$72</xm:f>
          </x14:formula1>
          <xm:sqref>B27 B29 B31 B33 B35 B37 B39 B41</xm:sqref>
        </x14:dataValidation>
        <x14:dataValidation type="list" allowBlank="1" showInputMessage="1" showErrorMessage="1">
          <x14:formula1>
            <xm:f>'_Tabellen und Listen'!$B$75:$B$85</xm:f>
          </x14:formula1>
          <xm:sqref>B42</xm:sqref>
        </x14:dataValidation>
        <x14:dataValidation type="list" allowBlank="1" showInputMessage="1" showErrorMessage="1">
          <x14:formula1>
            <xm:f>'_Tabellen und Listen'!$B$88:$B$98</xm:f>
          </x14:formula1>
          <xm:sqref>B43</xm:sqref>
        </x14:dataValidation>
        <x14:dataValidation type="list" allowBlank="1" showInputMessage="1" showErrorMessage="1">
          <x14:formula1>
            <xm:f>'_Tabellen und Listen'!$B$101:$B$111</xm:f>
          </x14:formula1>
          <xm:sqref>B44</xm:sqref>
        </x14:dataValidation>
        <x14:dataValidation type="list" allowBlank="1" showInputMessage="1" showErrorMessage="1">
          <x14:formula1>
            <xm:f>'_Tabellen und Listen'!$B$114:$B$124</xm:f>
          </x14:formula1>
          <xm:sqref>B45</xm:sqref>
        </x14:dataValidation>
        <x14:dataValidation type="list" allowBlank="1" showInputMessage="1" showErrorMessage="1">
          <x14:formula1>
            <xm:f>'_Tabellen und Listen'!$A$55:$A$59</xm:f>
          </x14:formula1>
          <xm:sqref>B23</xm:sqref>
        </x14:dataValidation>
        <x14:dataValidation type="list" allowBlank="1" showInputMessage="1" showErrorMessage="1">
          <x14:formula1>
            <xm:f>'_Tabellen und Listen'!$B$17:$B$24</xm:f>
          </x14:formula1>
          <xm:sqref>B18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405"/>
  <sheetViews>
    <sheetView showZeros="0" topLeftCell="C1" workbookViewId="0">
      <selection activeCell="H20" sqref="H20"/>
    </sheetView>
  </sheetViews>
  <sheetFormatPr baseColWidth="10" defaultRowHeight="15" x14ac:dyDescent="0.25"/>
  <cols>
    <col min="1" max="1" width="31.5703125" bestFit="1" customWidth="1"/>
    <col min="2" max="2" width="113.5703125" bestFit="1" customWidth="1"/>
    <col min="3" max="3" width="63.42578125" bestFit="1" customWidth="1"/>
    <col min="4" max="4" width="35.28515625" bestFit="1" customWidth="1"/>
    <col min="5" max="5" width="75.140625" bestFit="1" customWidth="1"/>
    <col min="6" max="6" width="24.7109375" bestFit="1" customWidth="1"/>
    <col min="7" max="7" width="17.5703125" bestFit="1" customWidth="1"/>
    <col min="8" max="8" width="18.140625" bestFit="1" customWidth="1"/>
    <col min="9" max="9" width="12.5703125" bestFit="1" customWidth="1"/>
    <col min="10" max="10" width="74.5703125" bestFit="1" customWidth="1"/>
    <col min="11" max="11" width="5.7109375" bestFit="1" customWidth="1"/>
  </cols>
  <sheetData>
    <row r="3" spans="1:11" x14ac:dyDescent="0.25">
      <c r="A3" s="2" t="s">
        <v>11</v>
      </c>
      <c r="B3" t="s">
        <v>10</v>
      </c>
      <c r="C3" s="2" t="s">
        <v>12</v>
      </c>
      <c r="D3" s="2" t="s">
        <v>673</v>
      </c>
    </row>
    <row r="4" spans="1:11" x14ac:dyDescent="0.25">
      <c r="A4" s="1">
        <v>3</v>
      </c>
      <c r="B4" s="1" t="s">
        <v>0</v>
      </c>
      <c r="C4" s="10" t="s">
        <v>13</v>
      </c>
      <c r="D4" s="1"/>
    </row>
    <row r="5" spans="1:11" x14ac:dyDescent="0.25">
      <c r="A5" s="1">
        <v>4</v>
      </c>
      <c r="B5" s="1" t="s">
        <v>1</v>
      </c>
      <c r="C5" s="10" t="s">
        <v>14</v>
      </c>
      <c r="D5" s="1" t="s">
        <v>674</v>
      </c>
    </row>
    <row r="6" spans="1:11" x14ac:dyDescent="0.25">
      <c r="A6" s="1">
        <v>5</v>
      </c>
      <c r="B6" s="1" t="s">
        <v>2</v>
      </c>
      <c r="C6" s="10" t="s">
        <v>15</v>
      </c>
      <c r="D6" s="1" t="s">
        <v>675</v>
      </c>
    </row>
    <row r="7" spans="1:11" x14ac:dyDescent="0.25">
      <c r="A7" s="1">
        <v>7</v>
      </c>
      <c r="B7" s="1" t="s">
        <v>3</v>
      </c>
      <c r="C7" s="10" t="s">
        <v>16</v>
      </c>
      <c r="D7" s="1" t="s">
        <v>676</v>
      </c>
    </row>
    <row r="8" spans="1:11" x14ac:dyDescent="0.25">
      <c r="A8" s="1">
        <v>8</v>
      </c>
      <c r="B8" s="1" t="s">
        <v>4</v>
      </c>
      <c r="C8" s="10" t="s">
        <v>17</v>
      </c>
      <c r="D8" s="1" t="s">
        <v>677</v>
      </c>
    </row>
    <row r="9" spans="1:11" x14ac:dyDescent="0.25">
      <c r="A9" s="1">
        <v>10</v>
      </c>
      <c r="B9" s="1" t="s">
        <v>5</v>
      </c>
      <c r="C9" s="10" t="s">
        <v>18</v>
      </c>
      <c r="D9" s="1"/>
    </row>
    <row r="10" spans="1:11" x14ac:dyDescent="0.25">
      <c r="A10" s="1">
        <v>12</v>
      </c>
      <c r="B10" s="1" t="s">
        <v>6</v>
      </c>
      <c r="C10" s="10" t="s">
        <v>19</v>
      </c>
      <c r="D10" s="1" t="s">
        <v>678</v>
      </c>
    </row>
    <row r="11" spans="1:11" x14ac:dyDescent="0.25">
      <c r="A11" s="1">
        <v>14</v>
      </c>
      <c r="B11" s="1" t="s">
        <v>7</v>
      </c>
      <c r="C11" s="10" t="s">
        <v>20</v>
      </c>
      <c r="D11" s="1" t="s">
        <v>679</v>
      </c>
    </row>
    <row r="12" spans="1:11" x14ac:dyDescent="0.25">
      <c r="A12" s="1">
        <v>16</v>
      </c>
      <c r="B12" s="1" t="s">
        <v>8</v>
      </c>
      <c r="C12" s="10" t="s">
        <v>21</v>
      </c>
      <c r="D12" s="1" t="s">
        <v>680</v>
      </c>
    </row>
    <row r="13" spans="1:11" x14ac:dyDescent="0.25">
      <c r="A13" s="1">
        <v>17</v>
      </c>
      <c r="B13" s="1" t="s">
        <v>9</v>
      </c>
      <c r="C13" s="10" t="s">
        <v>22</v>
      </c>
      <c r="D13" s="1" t="s">
        <v>681</v>
      </c>
    </row>
    <row r="14" spans="1:11" x14ac:dyDescent="0.25">
      <c r="A14" s="154"/>
      <c r="B14" s="21" t="s">
        <v>682</v>
      </c>
      <c r="C14" s="154"/>
      <c r="D14" s="1" t="s">
        <v>683</v>
      </c>
    </row>
    <row r="16" spans="1:11" x14ac:dyDescent="0.25">
      <c r="A16" s="2" t="s">
        <v>34</v>
      </c>
      <c r="B16" t="s">
        <v>10</v>
      </c>
      <c r="C16" s="1" t="s">
        <v>151</v>
      </c>
      <c r="D16" s="1" t="s">
        <v>152</v>
      </c>
      <c r="E16" s="21" t="s">
        <v>256</v>
      </c>
      <c r="F16" s="21" t="s">
        <v>261</v>
      </c>
      <c r="G16" s="21" t="s">
        <v>262</v>
      </c>
      <c r="H16" s="21" t="s">
        <v>265</v>
      </c>
      <c r="I16" s="21" t="s">
        <v>266</v>
      </c>
      <c r="J16" s="21" t="s">
        <v>263</v>
      </c>
      <c r="K16" s="21" t="s">
        <v>728</v>
      </c>
    </row>
    <row r="17" spans="1:11" x14ac:dyDescent="0.25">
      <c r="A17" s="1">
        <v>3</v>
      </c>
      <c r="B17" s="10" t="s">
        <v>35</v>
      </c>
      <c r="C17" s="1">
        <v>120</v>
      </c>
      <c r="D17" s="1">
        <v>4</v>
      </c>
      <c r="E17" s="21">
        <v>40</v>
      </c>
      <c r="F17" s="21">
        <v>7</v>
      </c>
      <c r="G17" s="21">
        <v>3</v>
      </c>
      <c r="H17" s="1"/>
      <c r="I17" s="1"/>
      <c r="J17" s="1"/>
      <c r="K17" s="1">
        <v>1</v>
      </c>
    </row>
    <row r="18" spans="1:11" x14ac:dyDescent="0.25">
      <c r="A18" s="1">
        <v>4</v>
      </c>
      <c r="B18" s="10" t="s">
        <v>36</v>
      </c>
      <c r="C18" s="1">
        <v>150</v>
      </c>
      <c r="D18" s="1">
        <v>4</v>
      </c>
      <c r="E18" s="21">
        <v>40</v>
      </c>
      <c r="F18" s="21">
        <v>6</v>
      </c>
      <c r="G18" s="21">
        <v>3</v>
      </c>
      <c r="H18" s="1"/>
      <c r="I18" s="1"/>
      <c r="J18" s="1"/>
      <c r="K18" s="1">
        <v>2</v>
      </c>
    </row>
    <row r="19" spans="1:11" x14ac:dyDescent="0.25">
      <c r="A19" s="1">
        <v>5</v>
      </c>
      <c r="B19" s="10" t="s">
        <v>37</v>
      </c>
      <c r="C19" s="1">
        <v>180</v>
      </c>
      <c r="D19" s="1">
        <v>5</v>
      </c>
      <c r="E19" s="21">
        <v>60</v>
      </c>
      <c r="F19" s="21">
        <v>5</v>
      </c>
      <c r="G19" s="21">
        <v>3</v>
      </c>
      <c r="H19" s="1"/>
      <c r="I19" s="1"/>
      <c r="J19" s="1"/>
      <c r="K19" s="1">
        <v>3</v>
      </c>
    </row>
    <row r="20" spans="1:11" x14ac:dyDescent="0.25">
      <c r="A20" s="1">
        <v>7</v>
      </c>
      <c r="B20" s="10" t="s">
        <v>38</v>
      </c>
      <c r="C20" s="1">
        <v>210</v>
      </c>
      <c r="D20" s="1">
        <v>7</v>
      </c>
      <c r="E20" s="21">
        <v>80</v>
      </c>
      <c r="F20" s="21">
        <v>4</v>
      </c>
      <c r="G20" s="21">
        <v>3</v>
      </c>
      <c r="H20" s="1">
        <v>1</v>
      </c>
      <c r="I20" s="1"/>
      <c r="J20" s="1"/>
      <c r="K20" s="21">
        <v>4</v>
      </c>
    </row>
    <row r="21" spans="1:11" x14ac:dyDescent="0.25">
      <c r="A21" s="1">
        <v>12</v>
      </c>
      <c r="B21" s="10" t="s">
        <v>39</v>
      </c>
      <c r="C21" s="1">
        <v>240</v>
      </c>
      <c r="D21" s="1">
        <v>6</v>
      </c>
      <c r="E21" s="21">
        <v>100</v>
      </c>
      <c r="F21" s="21">
        <v>3</v>
      </c>
      <c r="G21" s="21">
        <v>3</v>
      </c>
      <c r="H21" s="21"/>
      <c r="I21" s="21">
        <v>1</v>
      </c>
      <c r="J21" s="1" t="s">
        <v>264</v>
      </c>
      <c r="K21" s="21">
        <v>5</v>
      </c>
    </row>
    <row r="22" spans="1:11" x14ac:dyDescent="0.25">
      <c r="A22" s="1">
        <v>16</v>
      </c>
      <c r="B22" s="10" t="s">
        <v>40</v>
      </c>
      <c r="C22" s="1">
        <v>270</v>
      </c>
      <c r="D22" s="1">
        <v>5</v>
      </c>
      <c r="E22" s="21">
        <v>160</v>
      </c>
      <c r="F22" s="21">
        <v>2</v>
      </c>
      <c r="G22" s="21">
        <v>2</v>
      </c>
      <c r="H22" s="21">
        <v>1</v>
      </c>
      <c r="I22" s="21">
        <v>1</v>
      </c>
      <c r="J22" s="1" t="s">
        <v>267</v>
      </c>
      <c r="K22" s="21">
        <v>6</v>
      </c>
    </row>
    <row r="23" spans="1:11" x14ac:dyDescent="0.25">
      <c r="A23" s="1">
        <v>17</v>
      </c>
      <c r="B23" s="10" t="s">
        <v>41</v>
      </c>
      <c r="C23" s="1">
        <v>330</v>
      </c>
      <c r="D23" s="1">
        <v>5</v>
      </c>
      <c r="E23" s="21">
        <v>200</v>
      </c>
      <c r="F23" s="21">
        <v>1</v>
      </c>
      <c r="G23" s="21">
        <v>1</v>
      </c>
      <c r="H23" s="21">
        <v>1</v>
      </c>
      <c r="I23" s="21">
        <v>2</v>
      </c>
      <c r="J23" s="1" t="s">
        <v>267</v>
      </c>
      <c r="K23" s="21">
        <v>7</v>
      </c>
    </row>
    <row r="24" spans="1:11" x14ac:dyDescent="0.25">
      <c r="A24" s="1">
        <v>18</v>
      </c>
      <c r="B24" s="10" t="s">
        <v>42</v>
      </c>
      <c r="C24" s="1">
        <v>360</v>
      </c>
      <c r="D24" s="1">
        <v>5</v>
      </c>
      <c r="E24" s="21">
        <v>240</v>
      </c>
      <c r="F24" s="21">
        <v>0</v>
      </c>
      <c r="G24" s="21">
        <v>0</v>
      </c>
      <c r="H24" s="21">
        <v>1</v>
      </c>
      <c r="I24" s="21">
        <v>3</v>
      </c>
      <c r="J24" s="1" t="s">
        <v>267</v>
      </c>
      <c r="K24" s="21">
        <v>8</v>
      </c>
    </row>
    <row r="26" spans="1:11" x14ac:dyDescent="0.25">
      <c r="A26" s="2" t="s">
        <v>28</v>
      </c>
      <c r="B26" t="s">
        <v>43</v>
      </c>
    </row>
    <row r="27" spans="1:11" x14ac:dyDescent="0.25">
      <c r="A27" s="1">
        <v>2</v>
      </c>
      <c r="B27" s="1">
        <v>2</v>
      </c>
      <c r="C27" s="1" t="s">
        <v>44</v>
      </c>
    </row>
    <row r="28" spans="1:11" x14ac:dyDescent="0.25">
      <c r="A28" s="1">
        <v>3</v>
      </c>
      <c r="B28" s="1">
        <v>3</v>
      </c>
      <c r="C28" s="1" t="s">
        <v>45</v>
      </c>
    </row>
    <row r="29" spans="1:11" x14ac:dyDescent="0.25">
      <c r="A29" s="1">
        <v>5</v>
      </c>
      <c r="B29" s="1">
        <v>4</v>
      </c>
      <c r="C29" s="1" t="s">
        <v>46</v>
      </c>
    </row>
    <row r="30" spans="1:11" x14ac:dyDescent="0.25">
      <c r="A30" s="1">
        <v>10</v>
      </c>
      <c r="B30" s="1">
        <v>5</v>
      </c>
      <c r="C30" s="1" t="s">
        <v>47</v>
      </c>
    </row>
    <row r="31" spans="1:11" x14ac:dyDescent="0.25">
      <c r="A31" s="1">
        <v>12</v>
      </c>
      <c r="B31" s="1">
        <v>6</v>
      </c>
      <c r="C31" s="1" t="s">
        <v>48</v>
      </c>
    </row>
    <row r="33" spans="1:2" x14ac:dyDescent="0.25">
      <c r="A33" s="1" t="s">
        <v>49</v>
      </c>
      <c r="B33" s="1">
        <v>2</v>
      </c>
    </row>
    <row r="34" spans="1:2" x14ac:dyDescent="0.25">
      <c r="A34" s="1" t="s">
        <v>50</v>
      </c>
      <c r="B34" s="1">
        <v>2</v>
      </c>
    </row>
    <row r="35" spans="1:2" x14ac:dyDescent="0.25">
      <c r="A35" s="1" t="s">
        <v>51</v>
      </c>
      <c r="B35" s="1">
        <v>2</v>
      </c>
    </row>
    <row r="36" spans="1:2" x14ac:dyDescent="0.25">
      <c r="A36" s="1" t="s">
        <v>52</v>
      </c>
      <c r="B36" s="1">
        <v>3</v>
      </c>
    </row>
    <row r="37" spans="1:2" x14ac:dyDescent="0.25">
      <c r="A37" s="1" t="s">
        <v>54</v>
      </c>
      <c r="B37" s="1">
        <v>3</v>
      </c>
    </row>
    <row r="38" spans="1:2" x14ac:dyDescent="0.25">
      <c r="A38" s="1" t="s">
        <v>53</v>
      </c>
      <c r="B38" s="1">
        <v>3</v>
      </c>
    </row>
    <row r="39" spans="1:2" x14ac:dyDescent="0.25">
      <c r="A39" s="1" t="s">
        <v>55</v>
      </c>
      <c r="B39" s="1">
        <v>4</v>
      </c>
    </row>
    <row r="40" spans="1:2" x14ac:dyDescent="0.25">
      <c r="A40" s="1" t="s">
        <v>56</v>
      </c>
      <c r="B40" s="1">
        <v>4</v>
      </c>
    </row>
    <row r="41" spans="1:2" x14ac:dyDescent="0.25">
      <c r="A41" s="1" t="s">
        <v>57</v>
      </c>
      <c r="B41" s="1">
        <v>4</v>
      </c>
    </row>
    <row r="42" spans="1:2" x14ac:dyDescent="0.25">
      <c r="A42" s="1" t="s">
        <v>58</v>
      </c>
      <c r="B42" s="1">
        <v>4</v>
      </c>
    </row>
    <row r="43" spans="1:2" x14ac:dyDescent="0.25">
      <c r="A43" s="1" t="s">
        <v>59</v>
      </c>
      <c r="B43" s="1">
        <v>4</v>
      </c>
    </row>
    <row r="44" spans="1:2" x14ac:dyDescent="0.25">
      <c r="A44" s="1" t="s">
        <v>60</v>
      </c>
      <c r="B44" s="1">
        <v>5</v>
      </c>
    </row>
    <row r="45" spans="1:2" x14ac:dyDescent="0.25">
      <c r="A45" s="1" t="s">
        <v>61</v>
      </c>
      <c r="B45" s="1">
        <v>5</v>
      </c>
    </row>
    <row r="46" spans="1:2" x14ac:dyDescent="0.25">
      <c r="A46" s="1" t="s">
        <v>62</v>
      </c>
      <c r="B46" s="1">
        <v>5</v>
      </c>
    </row>
    <row r="47" spans="1:2" x14ac:dyDescent="0.25">
      <c r="A47" s="1" t="s">
        <v>63</v>
      </c>
      <c r="B47" s="1">
        <v>5</v>
      </c>
    </row>
    <row r="48" spans="1:2" x14ac:dyDescent="0.25">
      <c r="A48" s="1" t="s">
        <v>64</v>
      </c>
      <c r="B48" s="1">
        <v>5</v>
      </c>
    </row>
    <row r="49" spans="1:2" x14ac:dyDescent="0.25">
      <c r="A49" s="1" t="s">
        <v>65</v>
      </c>
      <c r="B49" s="1">
        <v>6</v>
      </c>
    </row>
    <row r="50" spans="1:2" x14ac:dyDescent="0.25">
      <c r="A50" s="1" t="s">
        <v>66</v>
      </c>
      <c r="B50" s="1">
        <v>6</v>
      </c>
    </row>
    <row r="51" spans="1:2" x14ac:dyDescent="0.25">
      <c r="A51" s="1" t="s">
        <v>67</v>
      </c>
      <c r="B51" s="1">
        <v>6</v>
      </c>
    </row>
    <row r="52" spans="1:2" x14ac:dyDescent="0.25">
      <c r="A52" s="1" t="s">
        <v>68</v>
      </c>
      <c r="B52" s="1">
        <v>6</v>
      </c>
    </row>
    <row r="54" spans="1:2" x14ac:dyDescent="0.25">
      <c r="A54" s="2" t="s">
        <v>69</v>
      </c>
    </row>
    <row r="55" spans="1:2" x14ac:dyDescent="0.25">
      <c r="A55" s="1" t="s">
        <v>70</v>
      </c>
      <c r="B55" s="1" t="s">
        <v>71</v>
      </c>
    </row>
    <row r="56" spans="1:2" x14ac:dyDescent="0.25">
      <c r="A56" s="1" t="s">
        <v>72</v>
      </c>
      <c r="B56" s="1" t="s">
        <v>142</v>
      </c>
    </row>
    <row r="57" spans="1:2" x14ac:dyDescent="0.25">
      <c r="A57" s="1" t="s">
        <v>73</v>
      </c>
      <c r="B57" s="1" t="s">
        <v>74</v>
      </c>
    </row>
    <row r="58" spans="1:2" x14ac:dyDescent="0.25">
      <c r="A58" s="1" t="s">
        <v>75</v>
      </c>
      <c r="B58" s="1" t="s">
        <v>76</v>
      </c>
    </row>
    <row r="59" spans="1:2" x14ac:dyDescent="0.25">
      <c r="A59" s="1" t="s">
        <v>77</v>
      </c>
      <c r="B59" s="1" t="s">
        <v>78</v>
      </c>
    </row>
    <row r="61" spans="1:2" x14ac:dyDescent="0.25">
      <c r="A61" s="2" t="s">
        <v>79</v>
      </c>
      <c r="B61" t="s">
        <v>43</v>
      </c>
    </row>
    <row r="62" spans="1:2" x14ac:dyDescent="0.25">
      <c r="A62" s="1">
        <v>2</v>
      </c>
      <c r="B62" s="1" t="s">
        <v>82</v>
      </c>
    </row>
    <row r="63" spans="1:2" x14ac:dyDescent="0.25">
      <c r="A63" s="1">
        <v>3</v>
      </c>
      <c r="B63" s="1" t="s">
        <v>80</v>
      </c>
    </row>
    <row r="64" spans="1:2" x14ac:dyDescent="0.25">
      <c r="A64" s="1">
        <v>4</v>
      </c>
      <c r="B64" s="1" t="s">
        <v>81</v>
      </c>
    </row>
    <row r="65" spans="1:2" x14ac:dyDescent="0.25">
      <c r="A65" s="1">
        <v>5</v>
      </c>
      <c r="B65" s="1" t="s">
        <v>83</v>
      </c>
    </row>
    <row r="66" spans="1:2" x14ac:dyDescent="0.25">
      <c r="A66" s="1">
        <v>6</v>
      </c>
      <c r="B66" s="1" t="s">
        <v>84</v>
      </c>
    </row>
    <row r="67" spans="1:2" x14ac:dyDescent="0.25">
      <c r="A67" s="1">
        <v>7</v>
      </c>
      <c r="B67" s="1" t="s">
        <v>85</v>
      </c>
    </row>
    <row r="68" spans="1:2" x14ac:dyDescent="0.25">
      <c r="A68" s="1">
        <v>8</v>
      </c>
      <c r="B68" s="1" t="s">
        <v>86</v>
      </c>
    </row>
    <row r="69" spans="1:2" x14ac:dyDescent="0.25">
      <c r="A69" s="1">
        <v>9</v>
      </c>
      <c r="B69" s="1" t="s">
        <v>87</v>
      </c>
    </row>
    <row r="70" spans="1:2" x14ac:dyDescent="0.25">
      <c r="A70" s="1">
        <v>10</v>
      </c>
      <c r="B70" s="1" t="s">
        <v>88</v>
      </c>
    </row>
    <row r="71" spans="1:2" x14ac:dyDescent="0.25">
      <c r="A71" s="1">
        <v>11</v>
      </c>
      <c r="B71" s="1" t="s">
        <v>89</v>
      </c>
    </row>
    <row r="72" spans="1:2" x14ac:dyDescent="0.25">
      <c r="A72" s="1">
        <v>12</v>
      </c>
      <c r="B72" s="1" t="s">
        <v>90</v>
      </c>
    </row>
    <row r="74" spans="1:2" x14ac:dyDescent="0.25">
      <c r="A74" s="2" t="s">
        <v>91</v>
      </c>
      <c r="B74" t="s">
        <v>43</v>
      </c>
    </row>
    <row r="75" spans="1:2" x14ac:dyDescent="0.25">
      <c r="A75" s="1">
        <v>2</v>
      </c>
      <c r="B75" s="1" t="s">
        <v>92</v>
      </c>
    </row>
    <row r="76" spans="1:2" x14ac:dyDescent="0.25">
      <c r="A76" s="1">
        <v>3</v>
      </c>
      <c r="B76" s="1" t="s">
        <v>93</v>
      </c>
    </row>
    <row r="77" spans="1:2" x14ac:dyDescent="0.25">
      <c r="A77" s="1">
        <v>4</v>
      </c>
      <c r="B77" s="1" t="s">
        <v>94</v>
      </c>
    </row>
    <row r="78" spans="1:2" x14ac:dyDescent="0.25">
      <c r="A78" s="1">
        <v>5</v>
      </c>
      <c r="B78" s="1" t="s">
        <v>95</v>
      </c>
    </row>
    <row r="79" spans="1:2" x14ac:dyDescent="0.25">
      <c r="A79" s="1">
        <v>6</v>
      </c>
      <c r="B79" s="1" t="s">
        <v>96</v>
      </c>
    </row>
    <row r="80" spans="1:2" x14ac:dyDescent="0.25">
      <c r="A80" s="1">
        <v>7</v>
      </c>
      <c r="B80" s="1" t="s">
        <v>97</v>
      </c>
    </row>
    <row r="81" spans="1:2" x14ac:dyDescent="0.25">
      <c r="A81" s="1">
        <v>8</v>
      </c>
      <c r="B81" s="1" t="s">
        <v>98</v>
      </c>
    </row>
    <row r="82" spans="1:2" x14ac:dyDescent="0.25">
      <c r="A82" s="1">
        <v>9</v>
      </c>
      <c r="B82" s="1" t="s">
        <v>99</v>
      </c>
    </row>
    <row r="83" spans="1:2" x14ac:dyDescent="0.25">
      <c r="A83" s="1">
        <v>10</v>
      </c>
      <c r="B83" s="1" t="s">
        <v>100</v>
      </c>
    </row>
    <row r="84" spans="1:2" x14ac:dyDescent="0.25">
      <c r="A84" s="1">
        <v>11</v>
      </c>
      <c r="B84" s="1" t="s">
        <v>101</v>
      </c>
    </row>
    <row r="85" spans="1:2" x14ac:dyDescent="0.25">
      <c r="A85" s="1">
        <v>12</v>
      </c>
      <c r="B85" s="1" t="s">
        <v>102</v>
      </c>
    </row>
    <row r="87" spans="1:2" x14ac:dyDescent="0.25">
      <c r="A87" s="2" t="s">
        <v>103</v>
      </c>
      <c r="B87" t="s">
        <v>43</v>
      </c>
    </row>
    <row r="88" spans="1:2" x14ac:dyDescent="0.25">
      <c r="A88" s="1">
        <v>2</v>
      </c>
      <c r="B88" s="1" t="s">
        <v>106</v>
      </c>
    </row>
    <row r="89" spans="1:2" x14ac:dyDescent="0.25">
      <c r="A89" s="1">
        <v>3</v>
      </c>
      <c r="B89" s="1" t="s">
        <v>107</v>
      </c>
    </row>
    <row r="90" spans="1:2" x14ac:dyDescent="0.25">
      <c r="A90" s="1">
        <v>4</v>
      </c>
      <c r="B90" s="1" t="s">
        <v>108</v>
      </c>
    </row>
    <row r="91" spans="1:2" x14ac:dyDescent="0.25">
      <c r="A91" s="1">
        <v>5</v>
      </c>
      <c r="B91" s="1" t="s">
        <v>109</v>
      </c>
    </row>
    <row r="92" spans="1:2" x14ac:dyDescent="0.25">
      <c r="A92" s="1">
        <v>6</v>
      </c>
      <c r="B92" s="1" t="s">
        <v>96</v>
      </c>
    </row>
    <row r="93" spans="1:2" x14ac:dyDescent="0.25">
      <c r="A93" s="1">
        <v>7</v>
      </c>
      <c r="B93" s="1" t="s">
        <v>110</v>
      </c>
    </row>
    <row r="94" spans="1:2" x14ac:dyDescent="0.25">
      <c r="A94" s="1">
        <v>8</v>
      </c>
      <c r="B94" s="1" t="s">
        <v>111</v>
      </c>
    </row>
    <row r="95" spans="1:2" x14ac:dyDescent="0.25">
      <c r="A95" s="1">
        <v>9</v>
      </c>
      <c r="B95" s="1" t="s">
        <v>112</v>
      </c>
    </row>
    <row r="96" spans="1:2" x14ac:dyDescent="0.25">
      <c r="A96" s="1">
        <v>10</v>
      </c>
      <c r="B96" s="1" t="s">
        <v>113</v>
      </c>
    </row>
    <row r="97" spans="1:2" x14ac:dyDescent="0.25">
      <c r="A97" s="1">
        <v>11</v>
      </c>
      <c r="B97" s="1" t="s">
        <v>114</v>
      </c>
    </row>
    <row r="98" spans="1:2" x14ac:dyDescent="0.25">
      <c r="A98" s="1">
        <v>12</v>
      </c>
      <c r="B98" s="1" t="s">
        <v>115</v>
      </c>
    </row>
    <row r="100" spans="1:2" x14ac:dyDescent="0.25">
      <c r="A100" s="2" t="s">
        <v>104</v>
      </c>
      <c r="B100" t="s">
        <v>43</v>
      </c>
    </row>
    <row r="101" spans="1:2" x14ac:dyDescent="0.25">
      <c r="A101" s="1">
        <v>2</v>
      </c>
      <c r="B101" s="1" t="s">
        <v>116</v>
      </c>
    </row>
    <row r="102" spans="1:2" x14ac:dyDescent="0.25">
      <c r="A102" s="1">
        <v>3</v>
      </c>
      <c r="B102" s="1" t="s">
        <v>117</v>
      </c>
    </row>
    <row r="103" spans="1:2" x14ac:dyDescent="0.25">
      <c r="A103" s="1">
        <v>4</v>
      </c>
      <c r="B103" s="1" t="s">
        <v>118</v>
      </c>
    </row>
    <row r="104" spans="1:2" x14ac:dyDescent="0.25">
      <c r="A104" s="1">
        <v>5</v>
      </c>
      <c r="B104" s="1" t="s">
        <v>119</v>
      </c>
    </row>
    <row r="105" spans="1:2" x14ac:dyDescent="0.25">
      <c r="A105" s="1">
        <v>6</v>
      </c>
      <c r="B105" s="1" t="s">
        <v>120</v>
      </c>
    </row>
    <row r="106" spans="1:2" x14ac:dyDescent="0.25">
      <c r="A106" s="1">
        <v>7</v>
      </c>
      <c r="B106" s="1" t="s">
        <v>121</v>
      </c>
    </row>
    <row r="107" spans="1:2" x14ac:dyDescent="0.25">
      <c r="A107" s="1">
        <v>8</v>
      </c>
      <c r="B107" s="1" t="s">
        <v>122</v>
      </c>
    </row>
    <row r="108" spans="1:2" x14ac:dyDescent="0.25">
      <c r="A108" s="1">
        <v>9</v>
      </c>
      <c r="B108" s="1" t="s">
        <v>123</v>
      </c>
    </row>
    <row r="109" spans="1:2" x14ac:dyDescent="0.25">
      <c r="A109" s="1">
        <v>10</v>
      </c>
      <c r="B109" s="1" t="s">
        <v>124</v>
      </c>
    </row>
    <row r="110" spans="1:2" x14ac:dyDescent="0.25">
      <c r="A110" s="1">
        <v>11</v>
      </c>
      <c r="B110" s="1" t="s">
        <v>125</v>
      </c>
    </row>
    <row r="111" spans="1:2" x14ac:dyDescent="0.25">
      <c r="A111" s="1">
        <v>12</v>
      </c>
      <c r="B111" s="1" t="s">
        <v>126</v>
      </c>
    </row>
    <row r="113" spans="1:2" x14ac:dyDescent="0.25">
      <c r="A113" s="2" t="s">
        <v>105</v>
      </c>
      <c r="B113" t="s">
        <v>43</v>
      </c>
    </row>
    <row r="114" spans="1:2" x14ac:dyDescent="0.25">
      <c r="A114" s="1">
        <v>2</v>
      </c>
      <c r="B114" s="1" t="s">
        <v>127</v>
      </c>
    </row>
    <row r="115" spans="1:2" x14ac:dyDescent="0.25">
      <c r="A115" s="1">
        <v>3</v>
      </c>
      <c r="B115" s="1" t="s">
        <v>128</v>
      </c>
    </row>
    <row r="116" spans="1:2" x14ac:dyDescent="0.25">
      <c r="A116" s="1">
        <v>4</v>
      </c>
      <c r="B116" s="1" t="s">
        <v>129</v>
      </c>
    </row>
    <row r="117" spans="1:2" x14ac:dyDescent="0.25">
      <c r="A117" s="1">
        <v>5</v>
      </c>
      <c r="B117" s="1" t="s">
        <v>130</v>
      </c>
    </row>
    <row r="118" spans="1:2" x14ac:dyDescent="0.25">
      <c r="A118" s="1">
        <v>6</v>
      </c>
      <c r="B118" s="1" t="s">
        <v>131</v>
      </c>
    </row>
    <row r="119" spans="1:2" x14ac:dyDescent="0.25">
      <c r="A119" s="1">
        <v>7</v>
      </c>
      <c r="B119" s="1" t="s">
        <v>132</v>
      </c>
    </row>
    <row r="120" spans="1:2" x14ac:dyDescent="0.25">
      <c r="A120" s="1">
        <v>8</v>
      </c>
      <c r="B120" s="1" t="s">
        <v>133</v>
      </c>
    </row>
    <row r="121" spans="1:2" x14ac:dyDescent="0.25">
      <c r="A121" s="1">
        <v>9</v>
      </c>
      <c r="B121" s="1" t="s">
        <v>134</v>
      </c>
    </row>
    <row r="122" spans="1:2" x14ac:dyDescent="0.25">
      <c r="A122" s="1">
        <v>10</v>
      </c>
      <c r="B122" s="1" t="s">
        <v>135</v>
      </c>
    </row>
    <row r="123" spans="1:2" x14ac:dyDescent="0.25">
      <c r="A123" s="1">
        <v>11</v>
      </c>
      <c r="B123" s="1" t="s">
        <v>136</v>
      </c>
    </row>
    <row r="124" spans="1:2" x14ac:dyDescent="0.25">
      <c r="A124" s="1">
        <v>12</v>
      </c>
      <c r="B124" s="1" t="s">
        <v>137</v>
      </c>
    </row>
    <row r="126" spans="1:2" x14ac:dyDescent="0.25">
      <c r="A126" s="2" t="s">
        <v>155</v>
      </c>
    </row>
    <row r="127" spans="1:2" x14ac:dyDescent="0.25">
      <c r="A127" s="1">
        <v>1</v>
      </c>
      <c r="B127" s="1">
        <v>10</v>
      </c>
    </row>
    <row r="128" spans="1:2" x14ac:dyDescent="0.25">
      <c r="A128" s="1">
        <v>2</v>
      </c>
      <c r="B128" s="1">
        <v>40</v>
      </c>
    </row>
    <row r="129" spans="1:3" x14ac:dyDescent="0.25">
      <c r="A129" s="1">
        <v>3</v>
      </c>
      <c r="B129" s="1">
        <v>70</v>
      </c>
    </row>
    <row r="130" spans="1:3" x14ac:dyDescent="0.25">
      <c r="A130" s="1">
        <v>4</v>
      </c>
      <c r="B130" s="1">
        <v>100</v>
      </c>
    </row>
    <row r="131" spans="1:3" x14ac:dyDescent="0.25">
      <c r="A131" s="1">
        <v>5</v>
      </c>
      <c r="B131" s="1">
        <v>130</v>
      </c>
    </row>
    <row r="133" spans="1:3" x14ac:dyDescent="0.25">
      <c r="A133" s="2" t="s">
        <v>157</v>
      </c>
    </row>
    <row r="134" spans="1:3" x14ac:dyDescent="0.25">
      <c r="A134" s="1">
        <v>0</v>
      </c>
      <c r="B134" s="1" t="s">
        <v>158</v>
      </c>
    </row>
    <row r="135" spans="1:3" x14ac:dyDescent="0.25">
      <c r="A135" s="1">
        <v>1</v>
      </c>
      <c r="B135" s="1" t="s">
        <v>159</v>
      </c>
    </row>
    <row r="136" spans="1:3" x14ac:dyDescent="0.25">
      <c r="A136" s="1">
        <v>2</v>
      </c>
      <c r="B136" s="1" t="s">
        <v>160</v>
      </c>
    </row>
    <row r="137" spans="1:3" x14ac:dyDescent="0.25">
      <c r="A137" s="1">
        <v>3</v>
      </c>
      <c r="B137" s="1" t="s">
        <v>161</v>
      </c>
    </row>
    <row r="138" spans="1:3" x14ac:dyDescent="0.25">
      <c r="A138" s="1">
        <v>4</v>
      </c>
      <c r="B138" s="1" t="s">
        <v>162</v>
      </c>
    </row>
    <row r="139" spans="1:3" x14ac:dyDescent="0.25">
      <c r="A139" s="1">
        <v>5</v>
      </c>
      <c r="B139" s="1" t="s">
        <v>163</v>
      </c>
    </row>
    <row r="140" spans="1:3" x14ac:dyDescent="0.25">
      <c r="A140" s="1">
        <v>6</v>
      </c>
      <c r="B140" s="1" t="s">
        <v>164</v>
      </c>
    </row>
    <row r="141" spans="1:3" x14ac:dyDescent="0.25">
      <c r="A141" s="1">
        <v>7</v>
      </c>
      <c r="B141" s="1" t="s">
        <v>165</v>
      </c>
    </row>
    <row r="142" spans="1:3" x14ac:dyDescent="0.25">
      <c r="A142" s="1">
        <v>8</v>
      </c>
      <c r="B142" s="1" t="s">
        <v>166</v>
      </c>
    </row>
    <row r="144" spans="1:3" x14ac:dyDescent="0.25">
      <c r="A144" s="2" t="s">
        <v>23</v>
      </c>
      <c r="C144" t="s">
        <v>263</v>
      </c>
    </row>
    <row r="145" spans="1:4" x14ac:dyDescent="0.25">
      <c r="A145" s="1">
        <v>1</v>
      </c>
      <c r="B145" s="16" t="s">
        <v>24</v>
      </c>
      <c r="C145" s="1" t="s">
        <v>684</v>
      </c>
      <c r="D145" s="1" t="str">
        <f>B145</f>
        <v>Athletik</v>
      </c>
    </row>
    <row r="146" spans="1:4" x14ac:dyDescent="0.25">
      <c r="A146" s="1">
        <f>+A145+1</f>
        <v>2</v>
      </c>
      <c r="B146" s="16" t="s">
        <v>25</v>
      </c>
      <c r="C146" s="1" t="s">
        <v>685</v>
      </c>
      <c r="D146" s="1" t="str">
        <f t="shared" ref="D146:D163" si="0">B146</f>
        <v>Ausdauer</v>
      </c>
    </row>
    <row r="147" spans="1:4" x14ac:dyDescent="0.25">
      <c r="A147" s="1">
        <f t="shared" ref="A147:A163" si="1">+A146+1</f>
        <v>3</v>
      </c>
      <c r="B147" s="16" t="s">
        <v>168</v>
      </c>
      <c r="C147" s="1" t="s">
        <v>686</v>
      </c>
      <c r="D147" s="1" t="str">
        <f t="shared" si="0"/>
        <v>Diebeskunst</v>
      </c>
    </row>
    <row r="148" spans="1:4" x14ac:dyDescent="0.25">
      <c r="A148" s="1">
        <f t="shared" si="1"/>
        <v>4</v>
      </c>
      <c r="B148" s="16" t="s">
        <v>26</v>
      </c>
      <c r="C148" s="1" t="s">
        <v>687</v>
      </c>
      <c r="D148" s="1" t="str">
        <f t="shared" si="0"/>
        <v>Gewandtheit</v>
      </c>
    </row>
    <row r="149" spans="1:4" x14ac:dyDescent="0.25">
      <c r="A149" s="1">
        <f t="shared" si="1"/>
        <v>5</v>
      </c>
      <c r="B149" s="16" t="s">
        <v>169</v>
      </c>
      <c r="C149" s="1" t="s">
        <v>688</v>
      </c>
      <c r="D149" s="1" t="str">
        <f t="shared" si="0"/>
        <v>Heilkunst</v>
      </c>
    </row>
    <row r="150" spans="1:4" x14ac:dyDescent="0.25">
      <c r="A150" s="1">
        <f t="shared" si="1"/>
        <v>6</v>
      </c>
      <c r="B150" s="16" t="s">
        <v>27</v>
      </c>
      <c r="C150" s="1" t="s">
        <v>689</v>
      </c>
      <c r="D150" s="1" t="str">
        <f t="shared" si="0"/>
        <v>Kampf</v>
      </c>
    </row>
    <row r="151" spans="1:4" x14ac:dyDescent="0.25">
      <c r="A151" s="1">
        <f t="shared" si="1"/>
        <v>7</v>
      </c>
      <c r="B151" s="16" t="s">
        <v>170</v>
      </c>
      <c r="C151" s="1" t="s">
        <v>690</v>
      </c>
      <c r="D151" s="1" t="str">
        <f t="shared" si="0"/>
        <v>Kriegsführung</v>
      </c>
    </row>
    <row r="152" spans="1:4" x14ac:dyDescent="0.25">
      <c r="A152" s="1">
        <f t="shared" si="1"/>
        <v>8</v>
      </c>
      <c r="B152" s="16" t="s">
        <v>171</v>
      </c>
      <c r="C152" s="1" t="s">
        <v>691</v>
      </c>
      <c r="D152" s="1" t="str">
        <f t="shared" si="0"/>
        <v>Scharfsinn</v>
      </c>
    </row>
    <row r="153" spans="1:4" x14ac:dyDescent="0.25">
      <c r="A153" s="1">
        <f t="shared" si="1"/>
        <v>9</v>
      </c>
      <c r="B153" s="16" t="s">
        <v>172</v>
      </c>
      <c r="C153" s="1" t="s">
        <v>692</v>
      </c>
      <c r="D153" s="1" t="str">
        <f t="shared" si="0"/>
        <v>Schiesskunst</v>
      </c>
    </row>
    <row r="154" spans="1:4" x14ac:dyDescent="0.25">
      <c r="A154" s="1">
        <f t="shared" si="1"/>
        <v>10</v>
      </c>
      <c r="B154" s="16" t="s">
        <v>156</v>
      </c>
      <c r="C154" s="1" t="s">
        <v>693</v>
      </c>
      <c r="D154" s="1" t="str">
        <f t="shared" si="0"/>
        <v>Sprache</v>
      </c>
    </row>
    <row r="155" spans="1:4" x14ac:dyDescent="0.25">
      <c r="A155" s="1">
        <f t="shared" si="1"/>
        <v>11</v>
      </c>
      <c r="B155" s="16" t="s">
        <v>28</v>
      </c>
      <c r="C155" s="1" t="s">
        <v>694</v>
      </c>
      <c r="D155" s="1" t="str">
        <f t="shared" si="0"/>
        <v>Status</v>
      </c>
    </row>
    <row r="156" spans="1:4" x14ac:dyDescent="0.25">
      <c r="A156" s="1">
        <f t="shared" si="1"/>
        <v>12</v>
      </c>
      <c r="B156" s="16" t="s">
        <v>173</v>
      </c>
      <c r="C156" s="1" t="s">
        <v>695</v>
      </c>
      <c r="D156" s="1" t="str">
        <f t="shared" si="0"/>
        <v>Täuschung</v>
      </c>
    </row>
    <row r="157" spans="1:4" x14ac:dyDescent="0.25">
      <c r="A157" s="1">
        <f t="shared" si="1"/>
        <v>13</v>
      </c>
      <c r="B157" s="16" t="s">
        <v>174</v>
      </c>
      <c r="C157" s="1" t="s">
        <v>696</v>
      </c>
      <c r="D157" s="1" t="str">
        <f t="shared" si="0"/>
        <v>Überleben</v>
      </c>
    </row>
    <row r="158" spans="1:4" x14ac:dyDescent="0.25">
      <c r="A158" s="1">
        <f t="shared" si="1"/>
        <v>14</v>
      </c>
      <c r="B158" s="16" t="s">
        <v>175</v>
      </c>
      <c r="C158" s="1" t="s">
        <v>697</v>
      </c>
      <c r="D158" s="1" t="str">
        <f t="shared" si="0"/>
        <v>Überredung</v>
      </c>
    </row>
    <row r="159" spans="1:4" x14ac:dyDescent="0.25">
      <c r="A159" s="1">
        <f t="shared" si="1"/>
        <v>15</v>
      </c>
      <c r="B159" s="16" t="s">
        <v>176</v>
      </c>
      <c r="C159" s="1" t="s">
        <v>698</v>
      </c>
      <c r="D159" s="1" t="str">
        <f t="shared" si="0"/>
        <v>Umgang mit Tieren</v>
      </c>
    </row>
    <row r="160" spans="1:4" x14ac:dyDescent="0.25">
      <c r="A160" s="1">
        <f t="shared" si="1"/>
        <v>16</v>
      </c>
      <c r="B160" s="16" t="s">
        <v>29</v>
      </c>
      <c r="C160" s="1" t="s">
        <v>699</v>
      </c>
      <c r="D160" s="1" t="str">
        <f t="shared" si="0"/>
        <v>Verstohlenheit</v>
      </c>
    </row>
    <row r="161" spans="1:6" x14ac:dyDescent="0.25">
      <c r="A161" s="1">
        <f t="shared" si="1"/>
        <v>17</v>
      </c>
      <c r="B161" s="16" t="s">
        <v>177</v>
      </c>
      <c r="C161" s="1" t="s">
        <v>700</v>
      </c>
      <c r="D161" s="1" t="str">
        <f t="shared" si="0"/>
        <v>Wahrnehmung</v>
      </c>
    </row>
    <row r="162" spans="1:6" x14ac:dyDescent="0.25">
      <c r="A162" s="1">
        <f t="shared" si="1"/>
        <v>18</v>
      </c>
      <c r="B162" s="16" t="s">
        <v>178</v>
      </c>
      <c r="C162" s="1" t="s">
        <v>701</v>
      </c>
      <c r="D162" s="1" t="str">
        <f t="shared" si="0"/>
        <v>Wille</v>
      </c>
    </row>
    <row r="163" spans="1:6" x14ac:dyDescent="0.25">
      <c r="A163" s="1">
        <f t="shared" si="1"/>
        <v>19</v>
      </c>
      <c r="B163" s="16" t="s">
        <v>95</v>
      </c>
      <c r="C163" s="1" t="s">
        <v>702</v>
      </c>
      <c r="D163" s="1" t="str">
        <f t="shared" si="0"/>
        <v>Wissen</v>
      </c>
    </row>
    <row r="164" spans="1:6" x14ac:dyDescent="0.25">
      <c r="A164" s="11"/>
    </row>
    <row r="165" spans="1:6" x14ac:dyDescent="0.25">
      <c r="A165" s="12" t="s">
        <v>274</v>
      </c>
    </row>
    <row r="166" spans="1:6" x14ac:dyDescent="0.25">
      <c r="A166" s="16" t="s">
        <v>275</v>
      </c>
      <c r="B166" s="1" t="s">
        <v>295</v>
      </c>
      <c r="C166" s="1"/>
      <c r="D166" s="1"/>
    </row>
    <row r="167" spans="1:6" x14ac:dyDescent="0.25">
      <c r="A167" s="16" t="s">
        <v>273</v>
      </c>
      <c r="B167" s="1" t="s">
        <v>282</v>
      </c>
      <c r="C167" s="1"/>
      <c r="D167" s="1"/>
    </row>
    <row r="168" spans="1:6" x14ac:dyDescent="0.25">
      <c r="A168" s="16" t="s">
        <v>276</v>
      </c>
      <c r="B168" s="1" t="s">
        <v>283</v>
      </c>
      <c r="C168" s="1"/>
      <c r="D168" s="1"/>
    </row>
    <row r="169" spans="1:6" x14ac:dyDescent="0.25">
      <c r="A169" s="16" t="s">
        <v>277</v>
      </c>
      <c r="B169" s="1" t="s">
        <v>284</v>
      </c>
      <c r="C169" s="1"/>
      <c r="D169" s="1"/>
    </row>
    <row r="170" spans="1:6" x14ac:dyDescent="0.25">
      <c r="A170" s="16" t="s">
        <v>278</v>
      </c>
      <c r="B170" s="1" t="s">
        <v>285</v>
      </c>
      <c r="C170" s="1"/>
      <c r="D170" s="1"/>
    </row>
    <row r="171" spans="1:6" x14ac:dyDescent="0.25">
      <c r="A171" s="16" t="s">
        <v>279</v>
      </c>
      <c r="B171" s="1" t="s">
        <v>286</v>
      </c>
      <c r="C171" s="1"/>
      <c r="D171" s="1"/>
    </row>
    <row r="172" spans="1:6" x14ac:dyDescent="0.25">
      <c r="A172" s="16" t="s">
        <v>280</v>
      </c>
      <c r="B172" s="1" t="s">
        <v>287</v>
      </c>
      <c r="C172" s="1"/>
      <c r="D172" s="1"/>
    </row>
    <row r="173" spans="1:6" x14ac:dyDescent="0.25">
      <c r="A173" s="16" t="s">
        <v>281</v>
      </c>
      <c r="B173" s="1"/>
      <c r="C173" s="1" t="s">
        <v>25</v>
      </c>
      <c r="D173" s="1">
        <v>5</v>
      </c>
    </row>
    <row r="174" spans="1:6" x14ac:dyDescent="0.25">
      <c r="A174" s="11"/>
    </row>
    <row r="175" spans="1:6" x14ac:dyDescent="0.25">
      <c r="A175" s="12" t="s">
        <v>291</v>
      </c>
    </row>
    <row r="176" spans="1:6" x14ac:dyDescent="0.25">
      <c r="A176" s="16" t="s">
        <v>307</v>
      </c>
      <c r="B176" s="1" t="s">
        <v>308</v>
      </c>
      <c r="C176" t="s">
        <v>25</v>
      </c>
      <c r="D176">
        <v>3</v>
      </c>
      <c r="E176" t="s">
        <v>187</v>
      </c>
      <c r="F176">
        <v>1</v>
      </c>
    </row>
    <row r="177" spans="1:4" x14ac:dyDescent="0.25">
      <c r="A177" s="16" t="s">
        <v>296</v>
      </c>
      <c r="B177" s="1"/>
      <c r="C177" t="s">
        <v>24</v>
      </c>
      <c r="D177">
        <v>4</v>
      </c>
    </row>
    <row r="178" spans="1:4" x14ac:dyDescent="0.25">
      <c r="A178" s="16" t="s">
        <v>297</v>
      </c>
      <c r="B178" s="1"/>
    </row>
    <row r="179" spans="1:4" x14ac:dyDescent="0.25">
      <c r="A179" s="16" t="s">
        <v>298</v>
      </c>
      <c r="B179" s="1"/>
    </row>
    <row r="180" spans="1:4" x14ac:dyDescent="0.25">
      <c r="A180" s="16" t="s">
        <v>299</v>
      </c>
      <c r="B180" s="1"/>
    </row>
    <row r="181" spans="1:4" x14ac:dyDescent="0.25">
      <c r="A181" s="16" t="s">
        <v>300</v>
      </c>
      <c r="B181" s="1"/>
    </row>
    <row r="182" spans="1:4" x14ac:dyDescent="0.25">
      <c r="A182" s="16" t="s">
        <v>301</v>
      </c>
      <c r="B182" s="1"/>
    </row>
    <row r="183" spans="1:4" x14ac:dyDescent="0.25">
      <c r="A183" s="16" t="s">
        <v>302</v>
      </c>
      <c r="B183" s="1"/>
    </row>
    <row r="184" spans="1:4" x14ac:dyDescent="0.25">
      <c r="A184" s="16" t="s">
        <v>303</v>
      </c>
      <c r="B184" s="1"/>
    </row>
    <row r="185" spans="1:4" x14ac:dyDescent="0.25">
      <c r="A185" s="16" t="s">
        <v>304</v>
      </c>
      <c r="B185" s="1"/>
    </row>
    <row r="186" spans="1:4" x14ac:dyDescent="0.25">
      <c r="A186" s="16" t="s">
        <v>305</v>
      </c>
      <c r="B186" s="1"/>
    </row>
    <row r="187" spans="1:4" x14ac:dyDescent="0.25">
      <c r="A187" s="16" t="s">
        <v>306</v>
      </c>
      <c r="B187" s="1"/>
    </row>
    <row r="188" spans="1:4" x14ac:dyDescent="0.25">
      <c r="A188" s="11"/>
    </row>
    <row r="189" spans="1:4" x14ac:dyDescent="0.25">
      <c r="A189" s="12" t="s">
        <v>180</v>
      </c>
    </row>
    <row r="190" spans="1:4" x14ac:dyDescent="0.25">
      <c r="B190" s="32" t="s">
        <v>181</v>
      </c>
    </row>
    <row r="191" spans="1:4" x14ac:dyDescent="0.25">
      <c r="B191" s="32" t="s">
        <v>182</v>
      </c>
    </row>
    <row r="192" spans="1:4" x14ac:dyDescent="0.25">
      <c r="B192" s="32" t="s">
        <v>183</v>
      </c>
    </row>
    <row r="193" spans="2:2" x14ac:dyDescent="0.25">
      <c r="B193" s="32" t="s">
        <v>184</v>
      </c>
    </row>
    <row r="194" spans="2:2" x14ac:dyDescent="0.25">
      <c r="B194" s="32" t="s">
        <v>185</v>
      </c>
    </row>
    <row r="195" spans="2:2" x14ac:dyDescent="0.25">
      <c r="B195" s="32" t="s">
        <v>186</v>
      </c>
    </row>
    <row r="196" spans="2:2" x14ac:dyDescent="0.25">
      <c r="B196" s="5" t="str">
        <f>IF(ISERROR(FIND(#REF!,'1. Allgemeines'!$B$25)),"","Kernfähigkeit")</f>
        <v/>
      </c>
    </row>
    <row r="197" spans="2:2" x14ac:dyDescent="0.25">
      <c r="B197" s="32" t="s">
        <v>187</v>
      </c>
    </row>
    <row r="198" spans="2:2" x14ac:dyDescent="0.25">
      <c r="B198" s="32" t="s">
        <v>528</v>
      </c>
    </row>
    <row r="199" spans="2:2" x14ac:dyDescent="0.25">
      <c r="B199" s="5" t="str">
        <f>IF(ISERROR(FIND(#REF!,'1. Allgemeines'!$B$25)),"","Kernfähigkeit")</f>
        <v/>
      </c>
    </row>
    <row r="200" spans="2:2" x14ac:dyDescent="0.25">
      <c r="B200" s="32" t="s">
        <v>188</v>
      </c>
    </row>
    <row r="201" spans="2:2" x14ac:dyDescent="0.25">
      <c r="B201" s="32" t="s">
        <v>189</v>
      </c>
    </row>
    <row r="202" spans="2:2" x14ac:dyDescent="0.25">
      <c r="B202" s="32" t="s">
        <v>190</v>
      </c>
    </row>
    <row r="203" spans="2:2" x14ac:dyDescent="0.25">
      <c r="B203" s="5" t="str">
        <f>IF(ISERROR(FIND(#REF!,'1. Allgemeines'!$B$25)),"","Kernfähigkeit")</f>
        <v/>
      </c>
    </row>
    <row r="204" spans="2:2" x14ac:dyDescent="0.25">
      <c r="B204" s="32" t="s">
        <v>191</v>
      </c>
    </row>
    <row r="205" spans="2:2" x14ac:dyDescent="0.25">
      <c r="B205" s="32" t="s">
        <v>192</v>
      </c>
    </row>
    <row r="206" spans="2:2" x14ac:dyDescent="0.25">
      <c r="B206" s="32" t="s">
        <v>193</v>
      </c>
    </row>
    <row r="207" spans="2:2" x14ac:dyDescent="0.25">
      <c r="B207" s="32" t="s">
        <v>194</v>
      </c>
    </row>
    <row r="208" spans="2:2" x14ac:dyDescent="0.25">
      <c r="B208" s="32" t="s">
        <v>195</v>
      </c>
    </row>
    <row r="209" spans="2:2" x14ac:dyDescent="0.25">
      <c r="B209" s="5" t="str">
        <f>IF(ISERROR(FIND(#REF!,'1. Allgemeines'!$B$25)),"","Kernfähigkeit")</f>
        <v/>
      </c>
    </row>
    <row r="210" spans="2:2" x14ac:dyDescent="0.25">
      <c r="B210" s="32" t="s">
        <v>196</v>
      </c>
    </row>
    <row r="211" spans="2:2" x14ac:dyDescent="0.25">
      <c r="B211" s="32" t="s">
        <v>197</v>
      </c>
    </row>
    <row r="212" spans="2:2" x14ac:dyDescent="0.25">
      <c r="B212" s="32" t="s">
        <v>198</v>
      </c>
    </row>
    <row r="213" spans="2:2" x14ac:dyDescent="0.25">
      <c r="B213" s="5" t="str">
        <f>IF(ISERROR(FIND(#REF!,'1. Allgemeines'!$B$25)),"","Kernfähigkeit")</f>
        <v/>
      </c>
    </row>
    <row r="214" spans="2:2" x14ac:dyDescent="0.25">
      <c r="B214" s="32" t="s">
        <v>199</v>
      </c>
    </row>
    <row r="215" spans="2:2" x14ac:dyDescent="0.25">
      <c r="B215" s="32" t="s">
        <v>200</v>
      </c>
    </row>
    <row r="216" spans="2:2" x14ac:dyDescent="0.25">
      <c r="B216" s="32" t="s">
        <v>201</v>
      </c>
    </row>
    <row r="217" spans="2:2" x14ac:dyDescent="0.25">
      <c r="B217" s="32" t="s">
        <v>202</v>
      </c>
    </row>
    <row r="218" spans="2:2" x14ac:dyDescent="0.25">
      <c r="B218" s="32" t="s">
        <v>203</v>
      </c>
    </row>
    <row r="219" spans="2:2" x14ac:dyDescent="0.25">
      <c r="B219" s="32" t="s">
        <v>204</v>
      </c>
    </row>
    <row r="220" spans="2:2" x14ac:dyDescent="0.25">
      <c r="B220" s="32" t="s">
        <v>205</v>
      </c>
    </row>
    <row r="221" spans="2:2" x14ac:dyDescent="0.25">
      <c r="B221" s="32" t="s">
        <v>206</v>
      </c>
    </row>
    <row r="222" spans="2:2" x14ac:dyDescent="0.25">
      <c r="B222" s="32" t="s">
        <v>502</v>
      </c>
    </row>
    <row r="223" spans="2:2" x14ac:dyDescent="0.25">
      <c r="B223" s="5"/>
    </row>
    <row r="224" spans="2:2" x14ac:dyDescent="0.25">
      <c r="B224" s="32" t="s">
        <v>207</v>
      </c>
    </row>
    <row r="225" spans="2:2" x14ac:dyDescent="0.25">
      <c r="B225" s="32" t="s">
        <v>208</v>
      </c>
    </row>
    <row r="226" spans="2:2" x14ac:dyDescent="0.25">
      <c r="B226" s="32" t="s">
        <v>209</v>
      </c>
    </row>
    <row r="227" spans="2:2" x14ac:dyDescent="0.25">
      <c r="B227" s="5" t="str">
        <f>IF(ISERROR(FIND(#REF!,'1. Allgemeines'!$B$25)),"","Kernfähigkeit")</f>
        <v/>
      </c>
    </row>
    <row r="228" spans="2:2" x14ac:dyDescent="0.25">
      <c r="B228" s="32" t="s">
        <v>212</v>
      </c>
    </row>
    <row r="229" spans="2:2" x14ac:dyDescent="0.25">
      <c r="B229" s="32" t="s">
        <v>210</v>
      </c>
    </row>
    <row r="230" spans="2:2" x14ac:dyDescent="0.25">
      <c r="B230" s="32" t="s">
        <v>211</v>
      </c>
    </row>
    <row r="231" spans="2:2" x14ac:dyDescent="0.25">
      <c r="B231" s="5" t="str">
        <f>IF(ISERROR(FIND(#REF!,'1. Allgemeines'!$B$25)),"","Kernfähigkeit")</f>
        <v/>
      </c>
    </row>
    <row r="232" spans="2:2" x14ac:dyDescent="0.25">
      <c r="B232" s="32" t="s">
        <v>213</v>
      </c>
    </row>
    <row r="233" spans="2:2" x14ac:dyDescent="0.25">
      <c r="B233" s="32" t="s">
        <v>214</v>
      </c>
    </row>
    <row r="234" spans="2:2" x14ac:dyDescent="0.25">
      <c r="B234" s="32" t="s">
        <v>215</v>
      </c>
    </row>
    <row r="235" spans="2:2" x14ac:dyDescent="0.25">
      <c r="B235" s="32" t="s">
        <v>216</v>
      </c>
    </row>
    <row r="236" spans="2:2" x14ac:dyDescent="0.25">
      <c r="B236" s="5" t="str">
        <f>IF(ISERROR(FIND(#REF!,'1. Allgemeines'!$B$25)),"","Kernfähigkeit")</f>
        <v/>
      </c>
    </row>
    <row r="237" spans="2:2" x14ac:dyDescent="0.25">
      <c r="B237" s="5" t="str">
        <f>IF(ISERROR(FIND(#REF!,'1. Allgemeines'!$B$25)),"","Kernfähigkeit")</f>
        <v/>
      </c>
    </row>
    <row r="238" spans="2:2" x14ac:dyDescent="0.25">
      <c r="B238" s="32" t="s">
        <v>217</v>
      </c>
    </row>
    <row r="239" spans="2:2" x14ac:dyDescent="0.25">
      <c r="B239" s="32" t="s">
        <v>218</v>
      </c>
    </row>
    <row r="240" spans="2:2" x14ac:dyDescent="0.25">
      <c r="B240" s="32" t="s">
        <v>219</v>
      </c>
    </row>
    <row r="241" spans="2:2" x14ac:dyDescent="0.25">
      <c r="B241" s="32" t="s">
        <v>220</v>
      </c>
    </row>
    <row r="242" spans="2:2" x14ac:dyDescent="0.25">
      <c r="B242" s="5" t="str">
        <f>IF(ISERROR(FIND(#REF!,'1. Allgemeines'!$B$25)),"","Kernfähigkeit")</f>
        <v/>
      </c>
    </row>
    <row r="243" spans="2:2" x14ac:dyDescent="0.25">
      <c r="B243" s="32" t="s">
        <v>221</v>
      </c>
    </row>
    <row r="244" spans="2:2" x14ac:dyDescent="0.25">
      <c r="B244" s="32" t="s">
        <v>222</v>
      </c>
    </row>
    <row r="245" spans="2:2" x14ac:dyDescent="0.25">
      <c r="B245" s="32" t="s">
        <v>223</v>
      </c>
    </row>
    <row r="246" spans="2:2" x14ac:dyDescent="0.25">
      <c r="B246" s="32" t="s">
        <v>224</v>
      </c>
    </row>
    <row r="247" spans="2:2" x14ac:dyDescent="0.25">
      <c r="B247" s="5" t="str">
        <f>IF(ISERROR(FIND(#REF!,'1. Allgemeines'!$B$25)),"","Kernfähigkeit")</f>
        <v/>
      </c>
    </row>
    <row r="248" spans="2:2" x14ac:dyDescent="0.25">
      <c r="B248" s="32" t="s">
        <v>225</v>
      </c>
    </row>
    <row r="249" spans="2:2" x14ac:dyDescent="0.25">
      <c r="B249" s="32" t="s">
        <v>226</v>
      </c>
    </row>
    <row r="250" spans="2:2" x14ac:dyDescent="0.25">
      <c r="B250" s="32" t="s">
        <v>227</v>
      </c>
    </row>
    <row r="251" spans="2:2" x14ac:dyDescent="0.25">
      <c r="B251" s="32" t="s">
        <v>228</v>
      </c>
    </row>
    <row r="252" spans="2:2" x14ac:dyDescent="0.25">
      <c r="B252" s="5" t="str">
        <f>IF(ISERROR(FIND(#REF!,'1. Allgemeines'!$B$25)),"","Kernfähigkeit")</f>
        <v/>
      </c>
    </row>
    <row r="253" spans="2:2" x14ac:dyDescent="0.25">
      <c r="B253" s="32" t="s">
        <v>229</v>
      </c>
    </row>
    <row r="254" spans="2:2" x14ac:dyDescent="0.25">
      <c r="B254" s="32" t="s">
        <v>230</v>
      </c>
    </row>
    <row r="255" spans="2:2" x14ac:dyDescent="0.25">
      <c r="B255" s="32" t="s">
        <v>231</v>
      </c>
    </row>
    <row r="256" spans="2:2" x14ac:dyDescent="0.25">
      <c r="B256" s="32" t="s">
        <v>232</v>
      </c>
    </row>
    <row r="257" spans="2:2" x14ac:dyDescent="0.25">
      <c r="B257" s="32" t="s">
        <v>233</v>
      </c>
    </row>
    <row r="258" spans="2:2" x14ac:dyDescent="0.25">
      <c r="B258" s="32" t="s">
        <v>234</v>
      </c>
    </row>
    <row r="259" spans="2:2" x14ac:dyDescent="0.25">
      <c r="B259" s="32" t="s">
        <v>235</v>
      </c>
    </row>
    <row r="260" spans="2:2" x14ac:dyDescent="0.25">
      <c r="B260" s="5" t="str">
        <f>IF(ISERROR(FIND(#REF!,'1. Allgemeines'!$B$25)),"","Kernfähigkeit")</f>
        <v/>
      </c>
    </row>
    <row r="261" spans="2:2" x14ac:dyDescent="0.25">
      <c r="B261" s="32" t="s">
        <v>236</v>
      </c>
    </row>
    <row r="262" spans="2:2" x14ac:dyDescent="0.25">
      <c r="B262" s="32" t="s">
        <v>237</v>
      </c>
    </row>
    <row r="263" spans="2:2" x14ac:dyDescent="0.25">
      <c r="B263" s="32" t="s">
        <v>238</v>
      </c>
    </row>
    <row r="264" spans="2:2" x14ac:dyDescent="0.25">
      <c r="B264" s="32" t="s">
        <v>239</v>
      </c>
    </row>
    <row r="265" spans="2:2" x14ac:dyDescent="0.25">
      <c r="B265" s="5" t="str">
        <f>IF(ISERROR(FIND(#REF!,'1. Allgemeines'!$B$25)),"","Kernfähigkeit")</f>
        <v/>
      </c>
    </row>
    <row r="266" spans="2:2" x14ac:dyDescent="0.25">
      <c r="B266" s="32" t="s">
        <v>240</v>
      </c>
    </row>
    <row r="267" spans="2:2" x14ac:dyDescent="0.25">
      <c r="B267" s="32" t="s">
        <v>241</v>
      </c>
    </row>
    <row r="268" spans="2:2" x14ac:dyDescent="0.25">
      <c r="B268" s="5" t="str">
        <f>IF(ISERROR(FIND(#REF!,'1. Allgemeines'!$B$25)),"","Kernfähigkeit")</f>
        <v/>
      </c>
    </row>
    <row r="269" spans="2:2" x14ac:dyDescent="0.25">
      <c r="B269" s="32" t="s">
        <v>242</v>
      </c>
    </row>
    <row r="270" spans="2:2" x14ac:dyDescent="0.25">
      <c r="B270" s="32" t="s">
        <v>243</v>
      </c>
    </row>
    <row r="271" spans="2:2" x14ac:dyDescent="0.25">
      <c r="B271" s="5" t="str">
        <f>IF(ISERROR(FIND(#REF!,'1. Allgemeines'!$B$25)),"","Kernfähigkeit")</f>
        <v/>
      </c>
    </row>
    <row r="272" spans="2:2" x14ac:dyDescent="0.25">
      <c r="B272" s="32" t="s">
        <v>244</v>
      </c>
    </row>
    <row r="273" spans="1:2" x14ac:dyDescent="0.25">
      <c r="B273" s="32" t="s">
        <v>245</v>
      </c>
    </row>
    <row r="274" spans="1:2" x14ac:dyDescent="0.25">
      <c r="B274" s="32" t="s">
        <v>246</v>
      </c>
    </row>
    <row r="275" spans="1:2" x14ac:dyDescent="0.25">
      <c r="B275" s="5" t="str">
        <f>IF(ISERROR(FIND(#REF!,'1. Allgemeines'!$B$25)),"","Kernfähigkeit")</f>
        <v/>
      </c>
    </row>
    <row r="276" spans="1:2" x14ac:dyDescent="0.25">
      <c r="B276" s="32" t="s">
        <v>247</v>
      </c>
    </row>
    <row r="277" spans="1:2" x14ac:dyDescent="0.25">
      <c r="B277" s="32" t="s">
        <v>248</v>
      </c>
    </row>
    <row r="278" spans="1:2" x14ac:dyDescent="0.25">
      <c r="B278" s="32" t="s">
        <v>249</v>
      </c>
    </row>
    <row r="280" spans="1:2" x14ac:dyDescent="0.25">
      <c r="A280" s="2" t="s">
        <v>263</v>
      </c>
    </row>
    <row r="281" spans="1:2" x14ac:dyDescent="0.25">
      <c r="A281" t="s">
        <v>24</v>
      </c>
    </row>
    <row r="282" spans="1:2" x14ac:dyDescent="0.25">
      <c r="A282" t="s">
        <v>25</v>
      </c>
    </row>
    <row r="283" spans="1:2" x14ac:dyDescent="0.25">
      <c r="A283" t="s">
        <v>168</v>
      </c>
    </row>
    <row r="284" spans="1:2" x14ac:dyDescent="0.25">
      <c r="A284" t="s">
        <v>26</v>
      </c>
    </row>
    <row r="285" spans="1:2" x14ac:dyDescent="0.25">
      <c r="A285" t="s">
        <v>169</v>
      </c>
    </row>
    <row r="286" spans="1:2" x14ac:dyDescent="0.25">
      <c r="A286" t="s">
        <v>27</v>
      </c>
    </row>
    <row r="287" spans="1:2" x14ac:dyDescent="0.25">
      <c r="A287" t="s">
        <v>170</v>
      </c>
    </row>
    <row r="288" spans="1:2" x14ac:dyDescent="0.25">
      <c r="A288" t="s">
        <v>171</v>
      </c>
    </row>
    <row r="289" spans="1:1" x14ac:dyDescent="0.25">
      <c r="A289" t="s">
        <v>172</v>
      </c>
    </row>
    <row r="290" spans="1:1" x14ac:dyDescent="0.25">
      <c r="A290" t="s">
        <v>156</v>
      </c>
    </row>
    <row r="291" spans="1:1" x14ac:dyDescent="0.25">
      <c r="A291" t="s">
        <v>28</v>
      </c>
    </row>
    <row r="292" spans="1:1" x14ac:dyDescent="0.25">
      <c r="A292" t="s">
        <v>173</v>
      </c>
    </row>
    <row r="293" spans="1:1" x14ac:dyDescent="0.25">
      <c r="A293" t="s">
        <v>174</v>
      </c>
    </row>
    <row r="294" spans="1:1" x14ac:dyDescent="0.25">
      <c r="A294" t="s">
        <v>175</v>
      </c>
    </row>
    <row r="296" spans="1:1" x14ac:dyDescent="0.25">
      <c r="A296" s="2" t="s">
        <v>729</v>
      </c>
    </row>
    <row r="297" spans="1:1" x14ac:dyDescent="0.25">
      <c r="A297" t="s">
        <v>730</v>
      </c>
    </row>
    <row r="298" spans="1:1" x14ac:dyDescent="0.25">
      <c r="A298" t="s">
        <v>731</v>
      </c>
    </row>
    <row r="299" spans="1:1" x14ac:dyDescent="0.25">
      <c r="A299" t="s">
        <v>732</v>
      </c>
    </row>
    <row r="300" spans="1:1" x14ac:dyDescent="0.25">
      <c r="A300" t="s">
        <v>733</v>
      </c>
    </row>
    <row r="301" spans="1:1" x14ac:dyDescent="0.25">
      <c r="A301" t="s">
        <v>734</v>
      </c>
    </row>
    <row r="302" spans="1:1" x14ac:dyDescent="0.25">
      <c r="A302" t="s">
        <v>735</v>
      </c>
    </row>
    <row r="303" spans="1:1" x14ac:dyDescent="0.25">
      <c r="A303" t="s">
        <v>736</v>
      </c>
    </row>
    <row r="304" spans="1:1" x14ac:dyDescent="0.25">
      <c r="A304" t="s">
        <v>737</v>
      </c>
    </row>
    <row r="305" spans="1:4" x14ac:dyDescent="0.25">
      <c r="A305" t="s">
        <v>738</v>
      </c>
    </row>
    <row r="306" spans="1:4" x14ac:dyDescent="0.25">
      <c r="A306" t="s">
        <v>739</v>
      </c>
    </row>
    <row r="307" spans="1:4" x14ac:dyDescent="0.25">
      <c r="A307" t="s">
        <v>740</v>
      </c>
    </row>
    <row r="308" spans="1:4" x14ac:dyDescent="0.25">
      <c r="A308" t="s">
        <v>741</v>
      </c>
    </row>
    <row r="309" spans="1:4" x14ac:dyDescent="0.25">
      <c r="A309" t="s">
        <v>742</v>
      </c>
    </row>
    <row r="310" spans="1:4" x14ac:dyDescent="0.25">
      <c r="A310" t="s">
        <v>743</v>
      </c>
    </row>
    <row r="311" spans="1:4" x14ac:dyDescent="0.25">
      <c r="A311" t="s">
        <v>744</v>
      </c>
    </row>
    <row r="312" spans="1:4" x14ac:dyDescent="0.25">
      <c r="A312" t="s">
        <v>745</v>
      </c>
    </row>
    <row r="314" spans="1:4" x14ac:dyDescent="0.25">
      <c r="A314" s="2" t="s">
        <v>347</v>
      </c>
      <c r="B314" t="s">
        <v>349</v>
      </c>
      <c r="C314" t="s">
        <v>350</v>
      </c>
      <c r="D314" t="s">
        <v>749</v>
      </c>
    </row>
    <row r="315" spans="1:4" x14ac:dyDescent="0.25">
      <c r="A315" t="s">
        <v>750</v>
      </c>
      <c r="B315">
        <v>0</v>
      </c>
      <c r="C315">
        <v>0</v>
      </c>
      <c r="D315">
        <v>0</v>
      </c>
    </row>
    <row r="316" spans="1:4" x14ac:dyDescent="0.25">
      <c r="A316" t="s">
        <v>751</v>
      </c>
      <c r="B316">
        <v>1</v>
      </c>
      <c r="C316">
        <v>0</v>
      </c>
      <c r="D316">
        <v>1</v>
      </c>
    </row>
    <row r="317" spans="1:4" x14ac:dyDescent="0.25">
      <c r="A317" t="s">
        <v>752</v>
      </c>
      <c r="B317">
        <v>1</v>
      </c>
      <c r="C317">
        <v>0</v>
      </c>
      <c r="D317">
        <v>0</v>
      </c>
    </row>
    <row r="318" spans="1:4" x14ac:dyDescent="0.25">
      <c r="A318" t="s">
        <v>753</v>
      </c>
      <c r="B318">
        <v>2</v>
      </c>
      <c r="C318">
        <v>-1</v>
      </c>
      <c r="D318">
        <v>0</v>
      </c>
    </row>
    <row r="319" spans="1:4" x14ac:dyDescent="0.25">
      <c r="A319" t="s">
        <v>754</v>
      </c>
      <c r="B319">
        <v>3</v>
      </c>
      <c r="C319">
        <v>-2</v>
      </c>
      <c r="D319">
        <v>0</v>
      </c>
    </row>
    <row r="320" spans="1:4" x14ac:dyDescent="0.25">
      <c r="A320" t="s">
        <v>755</v>
      </c>
      <c r="B320">
        <v>4</v>
      </c>
      <c r="C320">
        <v>-3</v>
      </c>
      <c r="D320">
        <v>1</v>
      </c>
    </row>
    <row r="321" spans="1:4" x14ac:dyDescent="0.25">
      <c r="A321" t="s">
        <v>756</v>
      </c>
      <c r="B321">
        <v>4</v>
      </c>
      <c r="C321">
        <v>-2</v>
      </c>
      <c r="D321">
        <v>1</v>
      </c>
    </row>
    <row r="322" spans="1:4" x14ac:dyDescent="0.25">
      <c r="A322" t="s">
        <v>757</v>
      </c>
      <c r="B322">
        <v>5</v>
      </c>
      <c r="C322">
        <v>-3</v>
      </c>
      <c r="D322">
        <v>3</v>
      </c>
    </row>
    <row r="323" spans="1:4" x14ac:dyDescent="0.25">
      <c r="A323" t="s">
        <v>758</v>
      </c>
      <c r="B323">
        <v>5</v>
      </c>
      <c r="C323">
        <v>-3</v>
      </c>
      <c r="D323">
        <v>2</v>
      </c>
    </row>
    <row r="324" spans="1:4" x14ac:dyDescent="0.25">
      <c r="A324" t="s">
        <v>759</v>
      </c>
      <c r="B324">
        <v>5</v>
      </c>
      <c r="C324">
        <v>-2</v>
      </c>
      <c r="D324">
        <v>3</v>
      </c>
    </row>
    <row r="325" spans="1:4" x14ac:dyDescent="0.25">
      <c r="A325" t="s">
        <v>760</v>
      </c>
      <c r="B325">
        <v>6</v>
      </c>
      <c r="C325">
        <v>-3</v>
      </c>
      <c r="D325">
        <v>2</v>
      </c>
    </row>
    <row r="326" spans="1:4" x14ac:dyDescent="0.25">
      <c r="A326" t="s">
        <v>761</v>
      </c>
      <c r="B326">
        <v>7</v>
      </c>
      <c r="C326">
        <v>-3</v>
      </c>
      <c r="D326">
        <v>3</v>
      </c>
    </row>
    <row r="327" spans="1:4" x14ac:dyDescent="0.25">
      <c r="A327" t="s">
        <v>762</v>
      </c>
      <c r="B327">
        <v>8</v>
      </c>
      <c r="C327">
        <v>-4</v>
      </c>
      <c r="D327">
        <v>3</v>
      </c>
    </row>
    <row r="328" spans="1:4" x14ac:dyDescent="0.25">
      <c r="A328" t="s">
        <v>763</v>
      </c>
      <c r="B328">
        <v>9</v>
      </c>
      <c r="C328">
        <v>-5</v>
      </c>
      <c r="D328">
        <v>3</v>
      </c>
    </row>
    <row r="329" spans="1:4" x14ac:dyDescent="0.25">
      <c r="A329" t="s">
        <v>764</v>
      </c>
      <c r="B329">
        <v>10</v>
      </c>
      <c r="C329">
        <v>-6</v>
      </c>
      <c r="D329">
        <v>3</v>
      </c>
    </row>
    <row r="331" spans="1:4" x14ac:dyDescent="0.25">
      <c r="A331" s="2" t="s">
        <v>767</v>
      </c>
      <c r="B331" t="s">
        <v>769</v>
      </c>
      <c r="C331" t="s">
        <v>749</v>
      </c>
    </row>
    <row r="332" spans="1:4" x14ac:dyDescent="0.25">
      <c r="A332" t="s">
        <v>768</v>
      </c>
      <c r="B332">
        <v>1</v>
      </c>
    </row>
    <row r="333" spans="1:4" x14ac:dyDescent="0.25">
      <c r="A333" t="s">
        <v>770</v>
      </c>
      <c r="B333">
        <v>1</v>
      </c>
    </row>
    <row r="334" spans="1:4" x14ac:dyDescent="0.25">
      <c r="A334" t="s">
        <v>771</v>
      </c>
      <c r="B334">
        <v>2</v>
      </c>
    </row>
    <row r="335" spans="1:4" x14ac:dyDescent="0.25">
      <c r="A335" t="s">
        <v>772</v>
      </c>
      <c r="B335">
        <v>1</v>
      </c>
    </row>
    <row r="336" spans="1:4" x14ac:dyDescent="0.25">
      <c r="A336" t="s">
        <v>773</v>
      </c>
      <c r="B336">
        <v>1</v>
      </c>
    </row>
    <row r="337" spans="1:9" x14ac:dyDescent="0.25">
      <c r="A337" t="s">
        <v>774</v>
      </c>
      <c r="B337">
        <v>4</v>
      </c>
      <c r="C337">
        <v>1</v>
      </c>
    </row>
    <row r="338" spans="1:9" x14ac:dyDescent="0.25">
      <c r="A338" t="s">
        <v>765</v>
      </c>
      <c r="B338">
        <v>2</v>
      </c>
    </row>
    <row r="339" spans="1:9" x14ac:dyDescent="0.25">
      <c r="A339" t="s">
        <v>775</v>
      </c>
      <c r="B339">
        <v>6</v>
      </c>
      <c r="C339">
        <v>2</v>
      </c>
    </row>
    <row r="341" spans="1:9" x14ac:dyDescent="0.25">
      <c r="A341" s="2" t="s">
        <v>346</v>
      </c>
      <c r="B341" t="s">
        <v>167</v>
      </c>
      <c r="C341" t="s">
        <v>780</v>
      </c>
      <c r="D341" t="s">
        <v>351</v>
      </c>
      <c r="E341" t="s">
        <v>340</v>
      </c>
      <c r="F341" t="s">
        <v>882</v>
      </c>
      <c r="G341" t="s">
        <v>749</v>
      </c>
      <c r="H341" t="s">
        <v>781</v>
      </c>
      <c r="I341" t="s">
        <v>179</v>
      </c>
    </row>
    <row r="342" spans="1:9" x14ac:dyDescent="0.25">
      <c r="A342" t="s">
        <v>779</v>
      </c>
      <c r="B342" t="s">
        <v>199</v>
      </c>
      <c r="D342" t="s">
        <v>823</v>
      </c>
      <c r="E342" t="s">
        <v>837</v>
      </c>
      <c r="F342">
        <f>MAX(1,H342)</f>
        <v>3</v>
      </c>
      <c r="H342">
        <f>+Charakterbogen!$C$6+1</f>
        <v>3</v>
      </c>
      <c r="I342" t="s">
        <v>27</v>
      </c>
    </row>
    <row r="343" spans="1:9" x14ac:dyDescent="0.25">
      <c r="A343" t="s">
        <v>768</v>
      </c>
      <c r="B343" t="s">
        <v>199</v>
      </c>
      <c r="D343" t="s">
        <v>824</v>
      </c>
      <c r="E343" t="s">
        <v>838</v>
      </c>
      <c r="F343">
        <f t="shared" ref="F343:F399" si="2">MAX(1,H343)</f>
        <v>1</v>
      </c>
      <c r="H343">
        <f>+Charakterbogen!$C$6-1</f>
        <v>1</v>
      </c>
      <c r="I343" t="s">
        <v>27</v>
      </c>
    </row>
    <row r="344" spans="1:9" x14ac:dyDescent="0.25">
      <c r="A344" t="s">
        <v>782</v>
      </c>
      <c r="B344" t="s">
        <v>199</v>
      </c>
      <c r="C344">
        <v>1</v>
      </c>
      <c r="D344" t="s">
        <v>825</v>
      </c>
      <c r="E344" t="s">
        <v>931</v>
      </c>
      <c r="F344">
        <f t="shared" si="2"/>
        <v>5</v>
      </c>
      <c r="G344">
        <v>1</v>
      </c>
      <c r="H344">
        <f>+Charakterbogen!$C$6+3</f>
        <v>5</v>
      </c>
      <c r="I344" t="s">
        <v>27</v>
      </c>
    </row>
    <row r="345" spans="1:9" x14ac:dyDescent="0.25">
      <c r="A345" t="s">
        <v>783</v>
      </c>
      <c r="B345" t="s">
        <v>199</v>
      </c>
      <c r="D345" t="s">
        <v>824</v>
      </c>
      <c r="E345" t="s">
        <v>839</v>
      </c>
      <c r="F345">
        <f t="shared" si="2"/>
        <v>1</v>
      </c>
      <c r="H345">
        <f>+Charakterbogen!$C$6-1</f>
        <v>1</v>
      </c>
      <c r="I345" t="s">
        <v>27</v>
      </c>
    </row>
    <row r="346" spans="1:9" x14ac:dyDescent="0.25">
      <c r="A346" t="s">
        <v>784</v>
      </c>
      <c r="B346" t="s">
        <v>199</v>
      </c>
      <c r="D346" t="s">
        <v>24</v>
      </c>
      <c r="E346" t="s">
        <v>840</v>
      </c>
      <c r="F346">
        <f t="shared" si="2"/>
        <v>2</v>
      </c>
      <c r="H346">
        <f>+Charakterbogen!$C$6</f>
        <v>2</v>
      </c>
      <c r="I346" t="s">
        <v>27</v>
      </c>
    </row>
    <row r="347" spans="1:9" x14ac:dyDescent="0.25">
      <c r="A347" t="s">
        <v>785</v>
      </c>
      <c r="B347" t="s">
        <v>199</v>
      </c>
      <c r="D347" t="s">
        <v>823</v>
      </c>
      <c r="E347" t="s">
        <v>841</v>
      </c>
      <c r="F347">
        <f t="shared" si="2"/>
        <v>3</v>
      </c>
      <c r="H347">
        <f>+Charakterbogen!$C$6+1</f>
        <v>3</v>
      </c>
      <c r="I347" t="s">
        <v>27</v>
      </c>
    </row>
    <row r="348" spans="1:9" x14ac:dyDescent="0.25">
      <c r="A348" t="s">
        <v>786</v>
      </c>
      <c r="B348" t="s">
        <v>213</v>
      </c>
      <c r="D348" t="s">
        <v>827</v>
      </c>
      <c r="E348" t="s">
        <v>842</v>
      </c>
      <c r="F348">
        <f t="shared" si="2"/>
        <v>3</v>
      </c>
      <c r="H348">
        <f>Charakterbogen!$C$9+1</f>
        <v>3</v>
      </c>
      <c r="I348" t="s">
        <v>172</v>
      </c>
    </row>
    <row r="349" spans="1:9" x14ac:dyDescent="0.25">
      <c r="A349" t="s">
        <v>787</v>
      </c>
      <c r="B349" t="s">
        <v>213</v>
      </c>
      <c r="D349" t="s">
        <v>827</v>
      </c>
      <c r="E349" t="s">
        <v>843</v>
      </c>
      <c r="F349">
        <f t="shared" si="2"/>
        <v>3</v>
      </c>
      <c r="H349">
        <f>Charakterbogen!$C$9+1</f>
        <v>3</v>
      </c>
      <c r="I349" t="s">
        <v>172</v>
      </c>
    </row>
    <row r="350" spans="1:9" x14ac:dyDescent="0.25">
      <c r="A350" t="s">
        <v>788</v>
      </c>
      <c r="B350" t="s">
        <v>213</v>
      </c>
      <c r="C350">
        <v>1</v>
      </c>
      <c r="D350" t="s">
        <v>827</v>
      </c>
      <c r="E350" t="s">
        <v>844</v>
      </c>
      <c r="F350">
        <f t="shared" si="2"/>
        <v>3</v>
      </c>
      <c r="H350">
        <f>Charakterbogen!$C$9+1</f>
        <v>3</v>
      </c>
      <c r="I350" t="s">
        <v>172</v>
      </c>
    </row>
    <row r="351" spans="1:9" x14ac:dyDescent="0.25">
      <c r="A351" t="s">
        <v>789</v>
      </c>
      <c r="B351" t="s">
        <v>213</v>
      </c>
      <c r="C351">
        <v>0</v>
      </c>
      <c r="D351" t="s">
        <v>827</v>
      </c>
      <c r="E351" t="s">
        <v>845</v>
      </c>
      <c r="F351">
        <f t="shared" si="2"/>
        <v>3</v>
      </c>
      <c r="H351">
        <f>Charakterbogen!$C$9+1</f>
        <v>3</v>
      </c>
      <c r="I351" t="s">
        <v>172</v>
      </c>
    </row>
    <row r="352" spans="1:9" x14ac:dyDescent="0.25">
      <c r="A352" t="s">
        <v>790</v>
      </c>
      <c r="B352" t="s">
        <v>215</v>
      </c>
      <c r="C352">
        <v>0</v>
      </c>
      <c r="D352" t="s">
        <v>26</v>
      </c>
      <c r="E352" t="s">
        <v>846</v>
      </c>
      <c r="F352">
        <f t="shared" si="2"/>
        <v>2</v>
      </c>
      <c r="H352">
        <f>Charakterbogen!$C$9</f>
        <v>2</v>
      </c>
      <c r="I352" t="s">
        <v>172</v>
      </c>
    </row>
    <row r="353" spans="1:9" x14ac:dyDescent="0.25">
      <c r="A353" t="s">
        <v>791</v>
      </c>
      <c r="B353" t="s">
        <v>215</v>
      </c>
      <c r="C353">
        <v>1</v>
      </c>
      <c r="D353" t="s">
        <v>828</v>
      </c>
      <c r="E353" t="s">
        <v>847</v>
      </c>
      <c r="F353">
        <f t="shared" si="2"/>
        <v>4</v>
      </c>
      <c r="H353">
        <f>Charakterbogen!$C$9+2</f>
        <v>4</v>
      </c>
      <c r="I353" t="s">
        <v>172</v>
      </c>
    </row>
    <row r="354" spans="1:9" x14ac:dyDescent="0.25">
      <c r="A354" t="s">
        <v>792</v>
      </c>
      <c r="B354" t="s">
        <v>215</v>
      </c>
      <c r="C354">
        <v>1</v>
      </c>
      <c r="D354" t="s">
        <v>827</v>
      </c>
      <c r="E354" t="s">
        <v>848</v>
      </c>
      <c r="F354">
        <f t="shared" si="2"/>
        <v>3</v>
      </c>
      <c r="H354">
        <f>Charakterbogen!$C$9+1</f>
        <v>3</v>
      </c>
      <c r="I354" t="s">
        <v>172</v>
      </c>
    </row>
    <row r="355" spans="1:9" x14ac:dyDescent="0.25">
      <c r="A355" t="s">
        <v>770</v>
      </c>
      <c r="B355" t="s">
        <v>200</v>
      </c>
      <c r="C355">
        <v>1</v>
      </c>
      <c r="D355" t="s">
        <v>26</v>
      </c>
      <c r="E355" t="s">
        <v>849</v>
      </c>
      <c r="F355">
        <f t="shared" si="2"/>
        <v>2</v>
      </c>
      <c r="H355">
        <f>Charakterbogen!$C$9</f>
        <v>2</v>
      </c>
      <c r="I355" t="s">
        <v>27</v>
      </c>
    </row>
    <row r="356" spans="1:9" x14ac:dyDescent="0.25">
      <c r="A356" t="s">
        <v>793</v>
      </c>
      <c r="B356" t="s">
        <v>200</v>
      </c>
      <c r="C356">
        <v>0</v>
      </c>
      <c r="D356" t="s">
        <v>829</v>
      </c>
      <c r="E356" t="s">
        <v>850</v>
      </c>
      <c r="F356">
        <f t="shared" si="2"/>
        <v>1</v>
      </c>
      <c r="H356">
        <f>Charakterbogen!$C$9-1</f>
        <v>1</v>
      </c>
      <c r="I356" t="s">
        <v>27</v>
      </c>
    </row>
    <row r="357" spans="1:9" x14ac:dyDescent="0.25">
      <c r="A357" t="s">
        <v>794</v>
      </c>
      <c r="B357" t="s">
        <v>200</v>
      </c>
      <c r="C357">
        <v>1</v>
      </c>
      <c r="D357" t="s">
        <v>829</v>
      </c>
      <c r="E357" t="s">
        <v>851</v>
      </c>
      <c r="F357">
        <f t="shared" si="2"/>
        <v>1</v>
      </c>
      <c r="H357">
        <f>Charakterbogen!$C$9-1</f>
        <v>1</v>
      </c>
      <c r="I357" t="s">
        <v>27</v>
      </c>
    </row>
    <row r="358" spans="1:9" x14ac:dyDescent="0.25">
      <c r="A358" t="s">
        <v>772</v>
      </c>
      <c r="B358" t="s">
        <v>201</v>
      </c>
      <c r="C358">
        <v>0</v>
      </c>
      <c r="D358" t="s">
        <v>830</v>
      </c>
      <c r="E358" t="s">
        <v>838</v>
      </c>
      <c r="F358">
        <f t="shared" si="2"/>
        <v>1</v>
      </c>
      <c r="H358">
        <f>Charakterbogen!$C$9-2</f>
        <v>0</v>
      </c>
      <c r="I358" t="s">
        <v>27</v>
      </c>
    </row>
    <row r="359" spans="1:9" x14ac:dyDescent="0.25">
      <c r="A359" t="s">
        <v>795</v>
      </c>
      <c r="B359" t="s">
        <v>201</v>
      </c>
      <c r="C359">
        <v>0</v>
      </c>
      <c r="D359" t="s">
        <v>830</v>
      </c>
      <c r="E359" t="s">
        <v>852</v>
      </c>
      <c r="F359">
        <f t="shared" si="2"/>
        <v>1</v>
      </c>
      <c r="H359">
        <f>Charakterbogen!$C$9-2</f>
        <v>0</v>
      </c>
      <c r="I359" t="s">
        <v>27</v>
      </c>
    </row>
    <row r="360" spans="1:9" x14ac:dyDescent="0.25">
      <c r="A360" t="s">
        <v>826</v>
      </c>
      <c r="B360" t="s">
        <v>201</v>
      </c>
      <c r="C360">
        <v>1</v>
      </c>
      <c r="D360" t="s">
        <v>26</v>
      </c>
      <c r="E360" t="s">
        <v>854</v>
      </c>
      <c r="F360">
        <f t="shared" si="2"/>
        <v>2</v>
      </c>
      <c r="H360">
        <f>Charakterbogen!$C$9</f>
        <v>2</v>
      </c>
      <c r="I360" t="s">
        <v>27</v>
      </c>
    </row>
    <row r="361" spans="1:9" x14ac:dyDescent="0.25">
      <c r="A361" t="s">
        <v>796</v>
      </c>
      <c r="B361" t="s">
        <v>202</v>
      </c>
      <c r="C361">
        <v>1</v>
      </c>
      <c r="D361" t="s">
        <v>24</v>
      </c>
      <c r="E361" t="s">
        <v>853</v>
      </c>
      <c r="F361">
        <f t="shared" si="2"/>
        <v>2</v>
      </c>
      <c r="H361">
        <f>+Charakterbogen!$C$6</f>
        <v>2</v>
      </c>
      <c r="I361" t="s">
        <v>27</v>
      </c>
    </row>
    <row r="362" spans="1:9" x14ac:dyDescent="0.25">
      <c r="A362" t="s">
        <v>797</v>
      </c>
      <c r="B362" t="s">
        <v>202</v>
      </c>
      <c r="C362">
        <v>1</v>
      </c>
      <c r="D362" t="s">
        <v>823</v>
      </c>
      <c r="E362" t="s">
        <v>840</v>
      </c>
      <c r="F362">
        <f t="shared" si="2"/>
        <v>3</v>
      </c>
      <c r="H362">
        <f>+Charakterbogen!$C$6+1</f>
        <v>3</v>
      </c>
      <c r="I362" t="s">
        <v>27</v>
      </c>
    </row>
    <row r="363" spans="1:9" x14ac:dyDescent="0.25">
      <c r="A363" t="s">
        <v>798</v>
      </c>
      <c r="B363" t="s">
        <v>202</v>
      </c>
      <c r="C363">
        <v>0</v>
      </c>
      <c r="D363" t="s">
        <v>825</v>
      </c>
      <c r="E363" t="s">
        <v>855</v>
      </c>
      <c r="F363">
        <f t="shared" si="2"/>
        <v>5</v>
      </c>
      <c r="H363">
        <f>+Charakterbogen!$C$6+3</f>
        <v>5</v>
      </c>
      <c r="I363" t="s">
        <v>27</v>
      </c>
    </row>
    <row r="364" spans="1:9" x14ac:dyDescent="0.25">
      <c r="A364" t="s">
        <v>799</v>
      </c>
      <c r="B364" t="s">
        <v>202</v>
      </c>
      <c r="C364">
        <v>0</v>
      </c>
      <c r="D364" t="s">
        <v>823</v>
      </c>
      <c r="E364" t="s">
        <v>932</v>
      </c>
      <c r="F364">
        <f t="shared" si="2"/>
        <v>3</v>
      </c>
      <c r="H364">
        <f>+Charakterbogen!$C$6+1</f>
        <v>3</v>
      </c>
      <c r="I364" t="s">
        <v>27</v>
      </c>
    </row>
    <row r="365" spans="1:9" x14ac:dyDescent="0.25">
      <c r="A365" t="s">
        <v>800</v>
      </c>
      <c r="B365" t="s">
        <v>203</v>
      </c>
      <c r="C365">
        <v>0</v>
      </c>
      <c r="D365" t="s">
        <v>831</v>
      </c>
      <c r="E365" t="s">
        <v>856</v>
      </c>
      <c r="F365">
        <f t="shared" si="2"/>
        <v>1</v>
      </c>
      <c r="H365">
        <f>+Charakterbogen!$C$6-3</f>
        <v>-1</v>
      </c>
      <c r="I365" t="s">
        <v>27</v>
      </c>
    </row>
    <row r="366" spans="1:9" x14ac:dyDescent="0.25">
      <c r="A366" t="s">
        <v>801</v>
      </c>
      <c r="B366" t="s">
        <v>203</v>
      </c>
      <c r="C366">
        <v>0</v>
      </c>
      <c r="D366" t="s">
        <v>824</v>
      </c>
      <c r="E366" t="s">
        <v>933</v>
      </c>
      <c r="F366">
        <f t="shared" si="2"/>
        <v>1</v>
      </c>
      <c r="H366">
        <f>+Charakterbogen!$C$6-1</f>
        <v>1</v>
      </c>
      <c r="I366" t="s">
        <v>27</v>
      </c>
    </row>
    <row r="367" spans="1:9" x14ac:dyDescent="0.25">
      <c r="A367" t="s">
        <v>802</v>
      </c>
      <c r="B367" t="s">
        <v>203</v>
      </c>
      <c r="C367">
        <v>0</v>
      </c>
      <c r="D367" t="s">
        <v>832</v>
      </c>
      <c r="E367" t="s">
        <v>857</v>
      </c>
      <c r="F367">
        <f t="shared" si="2"/>
        <v>1</v>
      </c>
      <c r="H367">
        <f>+Charakterbogen!$C$6-2</f>
        <v>0</v>
      </c>
      <c r="I367" t="s">
        <v>27</v>
      </c>
    </row>
    <row r="368" spans="1:9" x14ac:dyDescent="0.25">
      <c r="A368" t="s">
        <v>803</v>
      </c>
      <c r="B368" t="s">
        <v>203</v>
      </c>
      <c r="C368">
        <v>0</v>
      </c>
      <c r="D368" t="s">
        <v>832</v>
      </c>
      <c r="E368" t="s">
        <v>856</v>
      </c>
      <c r="F368">
        <f t="shared" si="2"/>
        <v>1</v>
      </c>
      <c r="H368">
        <f>+Charakterbogen!$C$6-2</f>
        <v>0</v>
      </c>
      <c r="I368" t="s">
        <v>27</v>
      </c>
    </row>
    <row r="369" spans="1:9" x14ac:dyDescent="0.25">
      <c r="A369" t="s">
        <v>804</v>
      </c>
      <c r="B369" t="s">
        <v>203</v>
      </c>
      <c r="C369">
        <v>2</v>
      </c>
      <c r="D369" t="s">
        <v>829</v>
      </c>
      <c r="E369" t="s">
        <v>858</v>
      </c>
      <c r="F369">
        <f t="shared" si="2"/>
        <v>1</v>
      </c>
      <c r="H369">
        <f>Charakterbogen!$C$9-1</f>
        <v>1</v>
      </c>
      <c r="I369" t="s">
        <v>27</v>
      </c>
    </row>
    <row r="370" spans="1:9" x14ac:dyDescent="0.25">
      <c r="A370" t="s">
        <v>773</v>
      </c>
      <c r="B370" t="s">
        <v>204</v>
      </c>
      <c r="C370">
        <v>0</v>
      </c>
      <c r="D370" t="s">
        <v>832</v>
      </c>
      <c r="E370" t="s">
        <v>838</v>
      </c>
      <c r="F370">
        <f t="shared" si="2"/>
        <v>1</v>
      </c>
      <c r="H370">
        <f>+Charakterbogen!$C$6-2</f>
        <v>0</v>
      </c>
      <c r="I370" t="s">
        <v>27</v>
      </c>
    </row>
    <row r="371" spans="1:9" x14ac:dyDescent="0.25">
      <c r="A371" t="s">
        <v>884</v>
      </c>
      <c r="B371" t="s">
        <v>204</v>
      </c>
      <c r="C371">
        <v>1</v>
      </c>
      <c r="D371" t="s">
        <v>832</v>
      </c>
      <c r="E371" t="s">
        <v>861</v>
      </c>
      <c r="F371">
        <f t="shared" si="2"/>
        <v>1</v>
      </c>
      <c r="G371">
        <v>2</v>
      </c>
      <c r="H371">
        <f>+Charakterbogen!$C$6-2</f>
        <v>0</v>
      </c>
      <c r="I371" t="s">
        <v>27</v>
      </c>
    </row>
    <row r="372" spans="1:9" x14ac:dyDescent="0.25">
      <c r="A372" t="s">
        <v>765</v>
      </c>
      <c r="B372" t="s">
        <v>204</v>
      </c>
      <c r="C372">
        <v>0</v>
      </c>
      <c r="D372" t="s">
        <v>832</v>
      </c>
      <c r="E372" t="s">
        <v>934</v>
      </c>
      <c r="F372">
        <f t="shared" si="2"/>
        <v>1</v>
      </c>
      <c r="H372">
        <f>+Charakterbogen!$C$6-2</f>
        <v>0</v>
      </c>
      <c r="I372" t="s">
        <v>27</v>
      </c>
    </row>
    <row r="373" spans="1:9" x14ac:dyDescent="0.25">
      <c r="A373" t="s">
        <v>775</v>
      </c>
      <c r="B373" t="s">
        <v>204</v>
      </c>
      <c r="C373">
        <v>2</v>
      </c>
      <c r="D373" t="s">
        <v>832</v>
      </c>
      <c r="E373" t="s">
        <v>935</v>
      </c>
      <c r="F373">
        <f t="shared" si="2"/>
        <v>1</v>
      </c>
      <c r="G373">
        <v>2</v>
      </c>
      <c r="H373">
        <f>+Charakterbogen!$C$6-2</f>
        <v>0</v>
      </c>
      <c r="I373" t="s">
        <v>27</v>
      </c>
    </row>
    <row r="374" spans="1:9" x14ac:dyDescent="0.25">
      <c r="A374" t="s">
        <v>805</v>
      </c>
      <c r="B374" t="s">
        <v>205</v>
      </c>
      <c r="C374">
        <v>2</v>
      </c>
      <c r="D374" t="s">
        <v>825</v>
      </c>
      <c r="E374" t="s">
        <v>859</v>
      </c>
      <c r="F374">
        <f t="shared" si="2"/>
        <v>5</v>
      </c>
      <c r="H374">
        <f>+Charakterbogen!$C$6+3</f>
        <v>5</v>
      </c>
      <c r="I374" t="s">
        <v>27</v>
      </c>
    </row>
    <row r="375" spans="1:9" x14ac:dyDescent="0.25">
      <c r="A375" t="s">
        <v>806</v>
      </c>
      <c r="B375" t="s">
        <v>205</v>
      </c>
      <c r="C375">
        <v>0</v>
      </c>
      <c r="D375" t="s">
        <v>24</v>
      </c>
      <c r="E375" t="s">
        <v>860</v>
      </c>
      <c r="F375">
        <f t="shared" si="2"/>
        <v>2</v>
      </c>
      <c r="G375">
        <v>1</v>
      </c>
      <c r="H375">
        <f>+Charakterbogen!$C$6</f>
        <v>2</v>
      </c>
      <c r="I375" t="s">
        <v>27</v>
      </c>
    </row>
    <row r="376" spans="1:9" x14ac:dyDescent="0.25">
      <c r="A376" t="s">
        <v>807</v>
      </c>
      <c r="B376" t="s">
        <v>205</v>
      </c>
      <c r="C376">
        <v>0</v>
      </c>
      <c r="D376" t="s">
        <v>824</v>
      </c>
      <c r="E376" t="s">
        <v>936</v>
      </c>
      <c r="F376">
        <f t="shared" si="2"/>
        <v>1</v>
      </c>
      <c r="H376">
        <f>+Charakterbogen!$C$6-1</f>
        <v>1</v>
      </c>
      <c r="I376" t="s">
        <v>27</v>
      </c>
    </row>
    <row r="377" spans="1:9" x14ac:dyDescent="0.25">
      <c r="A377" t="s">
        <v>808</v>
      </c>
      <c r="B377" t="s">
        <v>205</v>
      </c>
      <c r="C377">
        <v>0</v>
      </c>
      <c r="D377" t="s">
        <v>24</v>
      </c>
      <c r="E377" t="s">
        <v>862</v>
      </c>
      <c r="F377">
        <f t="shared" si="2"/>
        <v>2</v>
      </c>
      <c r="G377">
        <v>1</v>
      </c>
      <c r="H377">
        <f>+Charakterbogen!$C$6</f>
        <v>2</v>
      </c>
      <c r="I377" t="s">
        <v>27</v>
      </c>
    </row>
    <row r="378" spans="1:9" x14ac:dyDescent="0.25">
      <c r="A378" t="s">
        <v>809</v>
      </c>
      <c r="B378" t="s">
        <v>205</v>
      </c>
      <c r="C378">
        <v>0</v>
      </c>
      <c r="D378" t="s">
        <v>24</v>
      </c>
      <c r="E378" t="s">
        <v>863</v>
      </c>
      <c r="F378">
        <f t="shared" si="2"/>
        <v>2</v>
      </c>
      <c r="H378">
        <f>+Charakterbogen!$C$6</f>
        <v>2</v>
      </c>
      <c r="I378" t="s">
        <v>27</v>
      </c>
    </row>
    <row r="379" spans="1:9" x14ac:dyDescent="0.25">
      <c r="A379" t="s">
        <v>810</v>
      </c>
      <c r="B379" t="s">
        <v>205</v>
      </c>
      <c r="C379">
        <v>0</v>
      </c>
      <c r="D379" t="s">
        <v>823</v>
      </c>
      <c r="E379" t="s">
        <v>864</v>
      </c>
      <c r="F379">
        <f t="shared" si="2"/>
        <v>3</v>
      </c>
      <c r="G379">
        <v>1</v>
      </c>
      <c r="H379">
        <f>+Charakterbogen!$C$6+1</f>
        <v>3</v>
      </c>
      <c r="I379" t="s">
        <v>27</v>
      </c>
    </row>
    <row r="380" spans="1:9" x14ac:dyDescent="0.25">
      <c r="A380" t="s">
        <v>811</v>
      </c>
      <c r="B380" t="s">
        <v>205</v>
      </c>
      <c r="C380">
        <v>1</v>
      </c>
      <c r="D380" t="s">
        <v>24</v>
      </c>
      <c r="E380" t="s">
        <v>865</v>
      </c>
      <c r="F380">
        <f t="shared" si="2"/>
        <v>2</v>
      </c>
      <c r="H380">
        <f>+Charakterbogen!$C$6</f>
        <v>2</v>
      </c>
      <c r="I380" t="s">
        <v>27</v>
      </c>
    </row>
    <row r="381" spans="1:9" x14ac:dyDescent="0.25">
      <c r="A381" t="s">
        <v>812</v>
      </c>
      <c r="B381" t="s">
        <v>205</v>
      </c>
      <c r="C381">
        <v>0</v>
      </c>
      <c r="D381" t="s">
        <v>24</v>
      </c>
      <c r="E381" t="s">
        <v>932</v>
      </c>
      <c r="F381">
        <f t="shared" si="2"/>
        <v>2</v>
      </c>
      <c r="H381">
        <f>+Charakterbogen!$C$6</f>
        <v>2</v>
      </c>
      <c r="I381" t="s">
        <v>27</v>
      </c>
    </row>
    <row r="382" spans="1:9" x14ac:dyDescent="0.25">
      <c r="A382" t="s">
        <v>813</v>
      </c>
      <c r="B382" t="s">
        <v>206</v>
      </c>
      <c r="C382">
        <v>0</v>
      </c>
      <c r="D382" t="s">
        <v>24</v>
      </c>
      <c r="E382" t="s">
        <v>866</v>
      </c>
      <c r="F382">
        <f t="shared" si="2"/>
        <v>2</v>
      </c>
      <c r="H382">
        <f>+Charakterbogen!$C$6</f>
        <v>2</v>
      </c>
      <c r="I382" t="s">
        <v>27</v>
      </c>
    </row>
    <row r="383" spans="1:9" x14ac:dyDescent="0.25">
      <c r="A383" t="s">
        <v>814</v>
      </c>
      <c r="B383" t="s">
        <v>206</v>
      </c>
      <c r="C383">
        <v>1</v>
      </c>
      <c r="D383" t="s">
        <v>827</v>
      </c>
      <c r="E383" t="s">
        <v>840</v>
      </c>
      <c r="F383">
        <f t="shared" si="2"/>
        <v>3</v>
      </c>
      <c r="H383">
        <f>Charakterbogen!$C$9+1</f>
        <v>3</v>
      </c>
      <c r="I383" t="s">
        <v>27</v>
      </c>
    </row>
    <row r="384" spans="1:9" x14ac:dyDescent="0.25">
      <c r="A384" t="s">
        <v>815</v>
      </c>
      <c r="B384" t="s">
        <v>206</v>
      </c>
      <c r="C384">
        <v>1</v>
      </c>
      <c r="D384" t="s">
        <v>833</v>
      </c>
      <c r="E384" t="s">
        <v>867</v>
      </c>
      <c r="F384">
        <f t="shared" si="2"/>
        <v>6</v>
      </c>
      <c r="G384">
        <v>2</v>
      </c>
      <c r="H384">
        <f>+Charakterbogen!$N$10+4</f>
        <v>6</v>
      </c>
      <c r="I384" t="s">
        <v>27</v>
      </c>
    </row>
    <row r="385" spans="1:9" x14ac:dyDescent="0.25">
      <c r="A385" t="s">
        <v>816</v>
      </c>
      <c r="B385" t="s">
        <v>206</v>
      </c>
      <c r="C385">
        <v>1</v>
      </c>
      <c r="D385" t="s">
        <v>823</v>
      </c>
      <c r="E385" t="s">
        <v>868</v>
      </c>
      <c r="F385">
        <f t="shared" si="2"/>
        <v>3</v>
      </c>
      <c r="H385">
        <f>+Charakterbogen!$C$6+1</f>
        <v>3</v>
      </c>
      <c r="I385" t="s">
        <v>27</v>
      </c>
    </row>
    <row r="386" spans="1:9" x14ac:dyDescent="0.25">
      <c r="A386" t="s">
        <v>887</v>
      </c>
      <c r="B386" t="s">
        <v>206</v>
      </c>
      <c r="C386">
        <v>0</v>
      </c>
      <c r="D386" t="s">
        <v>24</v>
      </c>
      <c r="E386" t="s">
        <v>850</v>
      </c>
      <c r="F386">
        <f t="shared" si="2"/>
        <v>2</v>
      </c>
      <c r="H386">
        <f>+Charakterbogen!$C$6</f>
        <v>2</v>
      </c>
      <c r="I386" t="s">
        <v>27</v>
      </c>
    </row>
    <row r="387" spans="1:9" x14ac:dyDescent="0.25">
      <c r="A387" t="s">
        <v>885</v>
      </c>
      <c r="B387" t="s">
        <v>206</v>
      </c>
      <c r="C387">
        <v>0</v>
      </c>
      <c r="D387" t="s">
        <v>834</v>
      </c>
      <c r="E387" t="s">
        <v>869</v>
      </c>
      <c r="F387">
        <f t="shared" si="2"/>
        <v>4</v>
      </c>
      <c r="H387">
        <f>+Charakterbogen!$C$6+2</f>
        <v>4</v>
      </c>
      <c r="I387" t="s">
        <v>27</v>
      </c>
    </row>
    <row r="388" spans="1:9" x14ac:dyDescent="0.25">
      <c r="A388" t="s">
        <v>817</v>
      </c>
      <c r="B388" t="s">
        <v>206</v>
      </c>
      <c r="C388">
        <v>1</v>
      </c>
      <c r="D388" t="s">
        <v>835</v>
      </c>
      <c r="E388" t="s">
        <v>870</v>
      </c>
      <c r="F388">
        <f t="shared" si="2"/>
        <v>5</v>
      </c>
      <c r="G388">
        <v>1</v>
      </c>
      <c r="H388">
        <f>+Charakterbogen!$N$10+3</f>
        <v>5</v>
      </c>
      <c r="I388" t="s">
        <v>27</v>
      </c>
    </row>
    <row r="389" spans="1:9" x14ac:dyDescent="0.25">
      <c r="A389" t="s">
        <v>818</v>
      </c>
      <c r="B389" t="s">
        <v>502</v>
      </c>
      <c r="C389">
        <v>0</v>
      </c>
      <c r="D389" t="s">
        <v>834</v>
      </c>
      <c r="E389" t="s">
        <v>871</v>
      </c>
      <c r="F389">
        <f t="shared" si="2"/>
        <v>4</v>
      </c>
      <c r="H389">
        <f>+Charakterbogen!$C$6+2</f>
        <v>4</v>
      </c>
      <c r="I389" t="s">
        <v>27</v>
      </c>
    </row>
    <row r="390" spans="1:9" x14ac:dyDescent="0.25">
      <c r="A390" t="s">
        <v>819</v>
      </c>
      <c r="B390" t="s">
        <v>502</v>
      </c>
      <c r="C390">
        <v>1</v>
      </c>
      <c r="D390" t="s">
        <v>825</v>
      </c>
      <c r="E390" t="s">
        <v>872</v>
      </c>
      <c r="F390">
        <f t="shared" si="2"/>
        <v>5</v>
      </c>
      <c r="G390">
        <v>1</v>
      </c>
      <c r="H390">
        <f>+Charakterbogen!$C$6+3</f>
        <v>5</v>
      </c>
      <c r="I390" t="s">
        <v>27</v>
      </c>
    </row>
    <row r="391" spans="1:9" x14ac:dyDescent="0.25">
      <c r="A391" t="s">
        <v>820</v>
      </c>
      <c r="B391" t="s">
        <v>502</v>
      </c>
      <c r="C391">
        <v>1</v>
      </c>
      <c r="D391" t="s">
        <v>825</v>
      </c>
      <c r="E391" t="s">
        <v>873</v>
      </c>
      <c r="F391">
        <f t="shared" si="2"/>
        <v>5</v>
      </c>
      <c r="G391">
        <v>1</v>
      </c>
      <c r="H391">
        <f>+Charakterbogen!$C$6+3</f>
        <v>5</v>
      </c>
      <c r="I391" t="s">
        <v>27</v>
      </c>
    </row>
    <row r="392" spans="1:9" x14ac:dyDescent="0.25">
      <c r="A392" t="s">
        <v>813</v>
      </c>
      <c r="B392" t="s">
        <v>216</v>
      </c>
      <c r="C392">
        <v>0</v>
      </c>
      <c r="D392" t="s">
        <v>24</v>
      </c>
      <c r="E392" t="s">
        <v>874</v>
      </c>
      <c r="F392">
        <f t="shared" si="2"/>
        <v>2</v>
      </c>
      <c r="H392">
        <f>+Charakterbogen!$C$6</f>
        <v>2</v>
      </c>
      <c r="I392" t="s">
        <v>172</v>
      </c>
    </row>
    <row r="393" spans="1:9" x14ac:dyDescent="0.25">
      <c r="A393" t="s">
        <v>814</v>
      </c>
      <c r="B393" t="s">
        <v>216</v>
      </c>
      <c r="C393">
        <v>1</v>
      </c>
      <c r="D393" t="s">
        <v>827</v>
      </c>
      <c r="E393" t="s">
        <v>874</v>
      </c>
      <c r="F393">
        <f t="shared" si="2"/>
        <v>3</v>
      </c>
      <c r="H393">
        <f>Charakterbogen!$C$9+1</f>
        <v>3</v>
      </c>
      <c r="I393" t="s">
        <v>172</v>
      </c>
    </row>
    <row r="394" spans="1:9" x14ac:dyDescent="0.25">
      <c r="A394" t="s">
        <v>768</v>
      </c>
      <c r="B394" t="s">
        <v>216</v>
      </c>
      <c r="C394">
        <v>0</v>
      </c>
      <c r="D394" t="s">
        <v>24</v>
      </c>
      <c r="E394" t="s">
        <v>874</v>
      </c>
      <c r="F394">
        <f t="shared" si="2"/>
        <v>2</v>
      </c>
      <c r="H394">
        <f>+Charakterbogen!$C$6</f>
        <v>2</v>
      </c>
      <c r="I394" t="s">
        <v>172</v>
      </c>
    </row>
    <row r="395" spans="1:9" x14ac:dyDescent="0.25">
      <c r="A395" t="s">
        <v>802</v>
      </c>
      <c r="B395" t="s">
        <v>216</v>
      </c>
      <c r="C395">
        <v>0</v>
      </c>
      <c r="D395" t="s">
        <v>827</v>
      </c>
      <c r="E395" t="s">
        <v>875</v>
      </c>
      <c r="F395">
        <f t="shared" si="2"/>
        <v>3</v>
      </c>
      <c r="H395">
        <f>Charakterbogen!$C$9+1</f>
        <v>3</v>
      </c>
      <c r="I395" t="s">
        <v>172</v>
      </c>
    </row>
    <row r="396" spans="1:9" x14ac:dyDescent="0.25">
      <c r="A396" t="s">
        <v>821</v>
      </c>
      <c r="B396" t="s">
        <v>216</v>
      </c>
      <c r="C396">
        <v>1</v>
      </c>
      <c r="D396" t="s">
        <v>836</v>
      </c>
      <c r="E396" t="s">
        <v>876</v>
      </c>
      <c r="F396">
        <v>0</v>
      </c>
      <c r="H396">
        <v>0</v>
      </c>
      <c r="I396" t="s">
        <v>172</v>
      </c>
    </row>
    <row r="397" spans="1:9" x14ac:dyDescent="0.25">
      <c r="A397" t="s">
        <v>822</v>
      </c>
      <c r="B397" t="s">
        <v>216</v>
      </c>
      <c r="C397">
        <v>0</v>
      </c>
      <c r="D397" t="s">
        <v>824</v>
      </c>
      <c r="E397" t="s">
        <v>877</v>
      </c>
      <c r="F397">
        <f t="shared" si="2"/>
        <v>1</v>
      </c>
      <c r="H397">
        <f>+Charakterbogen!$C$6-1</f>
        <v>1</v>
      </c>
      <c r="I397" t="s">
        <v>172</v>
      </c>
    </row>
    <row r="398" spans="1:9" x14ac:dyDescent="0.25">
      <c r="A398" t="s">
        <v>886</v>
      </c>
      <c r="B398" t="s">
        <v>216</v>
      </c>
      <c r="C398">
        <v>0</v>
      </c>
      <c r="D398" t="s">
        <v>24</v>
      </c>
      <c r="E398" t="s">
        <v>874</v>
      </c>
      <c r="F398">
        <f t="shared" si="2"/>
        <v>2</v>
      </c>
      <c r="H398">
        <f>+Charakterbogen!$C$6</f>
        <v>2</v>
      </c>
      <c r="I398" t="s">
        <v>172</v>
      </c>
    </row>
    <row r="399" spans="1:9" x14ac:dyDescent="0.25">
      <c r="A399" t="s">
        <v>883</v>
      </c>
      <c r="B399" t="s">
        <v>216</v>
      </c>
      <c r="C399">
        <v>0</v>
      </c>
      <c r="D399" t="s">
        <v>24</v>
      </c>
      <c r="E399" t="s">
        <v>874</v>
      </c>
      <c r="F399">
        <f t="shared" si="2"/>
        <v>2</v>
      </c>
      <c r="H399">
        <f>+Charakterbogen!$C$6</f>
        <v>2</v>
      </c>
      <c r="I399" t="s">
        <v>172</v>
      </c>
    </row>
    <row r="401" spans="1:5" x14ac:dyDescent="0.25">
      <c r="A401" s="2" t="s">
        <v>891</v>
      </c>
      <c r="B401" t="s">
        <v>895</v>
      </c>
      <c r="C401" t="s">
        <v>899</v>
      </c>
      <c r="D401" t="s">
        <v>900</v>
      </c>
      <c r="E401" t="s">
        <v>902</v>
      </c>
    </row>
    <row r="402" spans="1:5" x14ac:dyDescent="0.25">
      <c r="A402" t="s">
        <v>892</v>
      </c>
      <c r="B402" s="252" t="s">
        <v>896</v>
      </c>
      <c r="C402">
        <v>-1</v>
      </c>
    </row>
    <row r="403" spans="1:5" x14ac:dyDescent="0.25">
      <c r="A403" t="s">
        <v>893</v>
      </c>
      <c r="B403" t="s">
        <v>897</v>
      </c>
      <c r="C403">
        <v>0</v>
      </c>
    </row>
    <row r="404" spans="1:5" x14ac:dyDescent="0.25">
      <c r="A404" t="s">
        <v>894</v>
      </c>
      <c r="B404" s="252" t="s">
        <v>898</v>
      </c>
      <c r="D404">
        <v>1</v>
      </c>
    </row>
    <row r="405" spans="1:5" x14ac:dyDescent="0.25">
      <c r="A405" t="s">
        <v>903</v>
      </c>
      <c r="B405" s="252" t="s">
        <v>901</v>
      </c>
      <c r="D405">
        <v>1</v>
      </c>
      <c r="E405">
        <v>1</v>
      </c>
    </row>
  </sheetData>
  <sheetProtection algorithmName="SHA-512" hashValue="x2nadc5k3uvlP03f5WmWTbqg1hycDYhSIROSxXALZnB+jnmwGrZGHNtJhGfEH/6A1tmZsLC3PGU9BLp0mc/mtw==" saltValue="ko+MYcnZs7xzyYVyT38zMw==" spinCount="100000" sheet="1" objects="1" scenarios="1"/>
  <sortState ref="A144:A230">
    <sortCondition ref="A144:A230"/>
  </sortState>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24"/>
  <sheetViews>
    <sheetView showGridLines="0" showZeros="0" workbookViewId="0">
      <selection activeCell="C123" sqref="C123:F123"/>
    </sheetView>
  </sheetViews>
  <sheetFormatPr baseColWidth="10" defaultRowHeight="15" x14ac:dyDescent="0.25"/>
  <cols>
    <col min="1" max="1" width="22.7109375" style="3" customWidth="1"/>
    <col min="2" max="2" width="23.140625" style="3" bestFit="1" customWidth="1"/>
    <col min="3" max="3" width="13.7109375" style="3" bestFit="1" customWidth="1"/>
    <col min="4" max="4" width="12.7109375" style="3" customWidth="1"/>
    <col min="5" max="6" width="12.42578125" style="3" customWidth="1"/>
    <col min="7" max="8" width="11.42578125" style="3"/>
    <col min="9" max="9" width="26" style="3" bestFit="1" customWidth="1"/>
    <col min="10" max="10" width="5.85546875" style="137" hidden="1" customWidth="1"/>
    <col min="11" max="11" width="10" style="137" hidden="1" customWidth="1"/>
    <col min="12" max="12" width="13.42578125" style="137" hidden="1" customWidth="1"/>
    <col min="13" max="13" width="14.85546875" style="137" hidden="1" customWidth="1"/>
    <col min="14" max="16384" width="11.42578125" style="3"/>
  </cols>
  <sheetData>
    <row r="1" spans="1:13" ht="26.25" x14ac:dyDescent="0.4">
      <c r="A1" s="298" t="str">
        <f>'1. Allgemeines'!A1</f>
        <v>Charaktergenerierung für das Game of Thrones Rollenspiel</v>
      </c>
      <c r="B1" s="298"/>
      <c r="C1" s="298"/>
      <c r="D1" s="298"/>
      <c r="E1" s="298"/>
      <c r="F1" s="298"/>
      <c r="G1" s="298"/>
      <c r="H1" s="298"/>
      <c r="I1" s="298"/>
      <c r="J1" s="146"/>
      <c r="M1" s="146"/>
    </row>
    <row r="3" spans="1:13" x14ac:dyDescent="0.25">
      <c r="A3" s="267" t="s">
        <v>270</v>
      </c>
      <c r="B3" s="267"/>
      <c r="C3" s="268" t="str">
        <f>'1. Allgemeines'!C3:G3</f>
        <v>Regelbücher und Abenteuer</v>
      </c>
      <c r="D3" s="268"/>
      <c r="E3" s="268"/>
      <c r="F3" s="268"/>
      <c r="G3" s="268"/>
      <c r="H3" s="281" t="str">
        <f>'1. Allgemeines'!H3</f>
        <v>Version 24.8.17 © Jaegers.Net</v>
      </c>
      <c r="I3" s="281"/>
      <c r="J3" s="147"/>
      <c r="M3" s="147"/>
    </row>
    <row r="4" spans="1:13" x14ac:dyDescent="0.25">
      <c r="A4" s="12"/>
      <c r="E4" s="6"/>
      <c r="F4" s="6"/>
    </row>
    <row r="5" spans="1:13" ht="30" x14ac:dyDescent="0.25">
      <c r="A5" s="12" t="s">
        <v>153</v>
      </c>
      <c r="B5" s="19">
        <f>VLOOKUP('1. Allgemeines'!H18,'_Tabellen und Listen'!B17:C24,2,FALSE)</f>
        <v>240</v>
      </c>
      <c r="E5" s="6"/>
      <c r="F5" s="6"/>
    </row>
    <row r="6" spans="1:13" x14ac:dyDescent="0.25">
      <c r="A6" s="12" t="s">
        <v>313</v>
      </c>
      <c r="B6" s="23"/>
      <c r="C6" s="289" t="s">
        <v>154</v>
      </c>
      <c r="D6" s="290"/>
      <c r="E6" s="290"/>
      <c r="F6" s="290"/>
      <c r="G6" s="290"/>
      <c r="H6" s="290"/>
      <c r="I6" s="290"/>
    </row>
    <row r="7" spans="1:13" ht="15.75" thickBot="1" x14ac:dyDescent="0.3">
      <c r="A7" s="12" t="s">
        <v>250</v>
      </c>
      <c r="B7" s="19">
        <f>IF(B6&lt;&gt;"",50,0)</f>
        <v>0</v>
      </c>
      <c r="C7" s="289"/>
      <c r="D7" s="290"/>
      <c r="E7" s="290"/>
      <c r="F7" s="290"/>
      <c r="G7" s="290"/>
      <c r="H7" s="290"/>
      <c r="I7" s="290"/>
    </row>
    <row r="8" spans="1:13" ht="30" x14ac:dyDescent="0.25">
      <c r="A8" s="12" t="s">
        <v>251</v>
      </c>
      <c r="B8" s="19">
        <f>B7+B5</f>
        <v>240</v>
      </c>
      <c r="D8" s="267" t="s">
        <v>257</v>
      </c>
      <c r="E8" s="267"/>
      <c r="F8" s="19">
        <f>VLOOKUP('1. Allgemeines'!H18,'_Tabellen und Listen'!B17:E24,4,FALSE)</f>
        <v>100</v>
      </c>
      <c r="H8" s="282" t="s">
        <v>331</v>
      </c>
      <c r="I8" s="283"/>
    </row>
    <row r="9" spans="1:13" ht="30" x14ac:dyDescent="0.25">
      <c r="A9" s="12" t="s">
        <v>259</v>
      </c>
      <c r="B9" s="19">
        <f>SUM(G16,G23,G26,G30,G36,G40,G50,G54,G58,G63,G80,G85,G90,G95,G103,G108,G111,G114,G118)</f>
        <v>0</v>
      </c>
      <c r="D9" s="267" t="s">
        <v>258</v>
      </c>
      <c r="E9" s="267"/>
      <c r="F9" s="19">
        <f>SUM(G16:G121)-B9</f>
        <v>0</v>
      </c>
      <c r="H9" s="285" t="str">
        <f>IF(B10&lt;0,"Warnung! Zu viele Punkte für Fähigkeiten ausgegeben!",IF(B10&gt;0,"Noch nicht alle Punkte für Fähigkeiten verteilt!",""))</f>
        <v>Noch nicht alle Punkte für Fähigkeiten verteilt!</v>
      </c>
      <c r="I9" s="286"/>
    </row>
    <row r="10" spans="1:13" ht="30" x14ac:dyDescent="0.25">
      <c r="A10" s="12" t="s">
        <v>260</v>
      </c>
      <c r="B10" s="19">
        <f>B8-B9</f>
        <v>240</v>
      </c>
      <c r="D10" s="267" t="s">
        <v>272</v>
      </c>
      <c r="E10" s="267"/>
      <c r="F10" s="19">
        <f>F8-F9</f>
        <v>100</v>
      </c>
      <c r="H10" s="285" t="str">
        <f>IF(F10&lt;0,"Warnung! Zu viele Punkte für Spezialisierunge ausgegeben!",IF(F10&gt;0,"Noch nicht alle Punkte für Spezialisierungen verteilt!",""))</f>
        <v>Noch nicht alle Punkte für Spezialisierungen verteilt!</v>
      </c>
      <c r="I10" s="286"/>
    </row>
    <row r="11" spans="1:13" x14ac:dyDescent="0.25">
      <c r="H11" s="98"/>
      <c r="I11" s="44"/>
    </row>
    <row r="12" spans="1:13" ht="60" customHeight="1" thickBot="1" x14ac:dyDescent="0.3">
      <c r="A12" s="18" t="s">
        <v>263</v>
      </c>
      <c r="B12" s="27" t="str">
        <f>IF(VLOOKUP('1. Allgemeines'!H18,'_Tabellen und Listen'!B17:H24,7,FALSE)&gt;0,VLOOKUP('1. Allgemeines'!H18,'_Tabellen und Listen'!B17:H24,7,FALSE)&amp;" beliebiges","")&amp;IF(VLOOKUP('1. Allgemeines'!H18,'_Tabellen und Listen'!B17:I24,8,FALSE)&gt;0,IF(VLOOKUP('1. Allgemeines'!H18,'_Tabellen und Listen'!B17:H24,7,FALSE)&gt;0," und ","")&amp;VLOOKUP('1. Allgemeines'!H18,'_Tabellen und Listen'!B17:I24,8,FALSE)&amp;" aus "&amp;VLOOKUP('1. Allgemeines'!H18,'_Tabellen und Listen'!B17:J24,9,FALSE),"")</f>
        <v>1 aus Athletik, Ausdauer, Gewandtheit</v>
      </c>
      <c r="C12" s="289" t="str">
        <f>IF(B12&lt;&gt;"","jeweils -1W, jedoch nicht mehr als Rang-1 Makel auf Fähigkeit. Makel werden auf dem Blatt Nachteile vermerkt.","kein Makel erforderlich")</f>
        <v>jeweils -1W, jedoch nicht mehr als Rang-1 Makel auf Fähigkeit. Makel werden auf dem Blatt Nachteile vermerkt.</v>
      </c>
      <c r="D12" s="290"/>
      <c r="E12" s="290"/>
      <c r="F12" s="290"/>
      <c r="G12" s="290"/>
      <c r="H12" s="299" t="e">
        <f>IF('4. Nachteile'!B31="nein",IF(SUM(E16,E23,E26,E30,E36,E40,E50,E54,E58,E63:E80,E85,E90,E95,E103,E108,E111,E114,E118)&lt;VLOOKUP('1. Allgemeines'!H18,'_Tabellen und Listen'!B17:H24,7,FALSE)+VLOOKUP('1. Allgemeines'!H18,'_Tabellen und Listen'!B17:I24,8,FALSE),"Noch nicht alle Makel vergeben!","")&amp;IF(VLOOKUP('1. Allgemeines'!H18,'_Tabellen und Listen'!B17:I24,8,FALSE)&gt;SUMIFS(E16:E118,E16:E119,"Makel")," Außerdem noch nicht alle Pflichtmakel besetzt!",""),"")</f>
        <v>#VALUE!</v>
      </c>
      <c r="I12" s="300"/>
    </row>
    <row r="13" spans="1:13" ht="30" x14ac:dyDescent="0.25">
      <c r="A13" s="12" t="s">
        <v>746</v>
      </c>
      <c r="B13" s="240" t="s">
        <v>747</v>
      </c>
      <c r="C13" s="293" t="str">
        <f>"Erwachsene oder ältere Charaktere dürfen einen Makel in einen Nachteil verwandeln."&amp;IF('1. Allgemeines'!C18&lt;4," Für diesen Charakter ist diese Option NICHT ZUTREFFEND!","")</f>
        <v>Erwachsene oder ältere Charaktere dürfen einen Makel in einen Nachteil verwandeln.</v>
      </c>
      <c r="D13" s="294"/>
      <c r="E13" s="294"/>
      <c r="F13" s="294"/>
      <c r="G13" s="294"/>
    </row>
    <row r="14" spans="1:13" x14ac:dyDescent="0.25">
      <c r="A14" s="12"/>
      <c r="E14" s="234"/>
      <c r="F14" s="234"/>
    </row>
    <row r="15" spans="1:13" x14ac:dyDescent="0.25">
      <c r="A15" s="12" t="s">
        <v>179</v>
      </c>
      <c r="B15" s="7" t="s">
        <v>167</v>
      </c>
      <c r="C15" s="8" t="s">
        <v>252</v>
      </c>
      <c r="D15" s="8" t="s">
        <v>253</v>
      </c>
      <c r="E15" s="8" t="s">
        <v>263</v>
      </c>
      <c r="F15" s="8" t="s">
        <v>255</v>
      </c>
      <c r="G15" s="8" t="s">
        <v>254</v>
      </c>
    </row>
    <row r="16" spans="1:13" x14ac:dyDescent="0.25">
      <c r="A16" s="287" t="s">
        <v>24</v>
      </c>
      <c r="B16" s="5" t="str">
        <f>IF(ISERROR(FIND(A16,'1. Allgemeines'!$B$25)),"","Kernfähigkeit")</f>
        <v/>
      </c>
      <c r="C16" s="25">
        <f>IF(A16=$B$6,1,2)</f>
        <v>2</v>
      </c>
      <c r="D16" s="24"/>
      <c r="E16" s="20" t="str">
        <f>IF(VLOOKUP("Makel "&amp;VLOOKUP(A16,'_Tabellen und Listen'!$B$145:$C$163,2,FALSE),'4. Nachteile'!$A$36:$B$54,2,FALSE)="ja","gesetzt",IF(ISERROR(FIND(A16,B$12)),"","ggf."))</f>
        <v>ggf.</v>
      </c>
      <c r="F16" s="19">
        <f>+D16+C16</f>
        <v>2</v>
      </c>
      <c r="G16" s="19">
        <f>IF(D16&gt;0,VLOOKUP(D16,'_Tabellen und Listen'!A$127:B$131,2,TRUE),0)</f>
        <v>0</v>
      </c>
      <c r="I16" s="4" t="str">
        <f>A16&amp;" "&amp;F16</f>
        <v>Athletik 2</v>
      </c>
      <c r="K16" s="148">
        <f>IF(L16&lt;&gt;"",1,0)</f>
        <v>0</v>
      </c>
      <c r="L16" s="148" t="str">
        <f>IF(OR(F16&lt;&gt;2,SUM(F17:F22)&gt;0),A16,"")</f>
        <v/>
      </c>
      <c r="M16" s="148" t="str">
        <f>IFERROR(RIGHT(J22,LEN(J22)-2),"")</f>
        <v/>
      </c>
    </row>
    <row r="17" spans="1:13" x14ac:dyDescent="0.25">
      <c r="A17" s="287"/>
      <c r="B17" s="288" t="s">
        <v>181</v>
      </c>
      <c r="C17" s="288"/>
      <c r="D17" s="24"/>
      <c r="F17" s="19">
        <f t="shared" ref="F17:F22" si="0">+D17</f>
        <v>0</v>
      </c>
      <c r="G17" s="19">
        <f t="shared" ref="G17:G22" si="1">+F17*10</f>
        <v>0</v>
      </c>
      <c r="I17" s="26" t="str">
        <f t="shared" ref="I17:I22" si="2">IF(F17&gt;0,B17&amp;" "&amp;F17&amp;"B","")</f>
        <v/>
      </c>
      <c r="J17" s="148" t="str">
        <f>IF(I17&lt;&gt;"",", "&amp;I17,"")</f>
        <v/>
      </c>
      <c r="M17" s="145"/>
    </row>
    <row r="18" spans="1:13" x14ac:dyDescent="0.25">
      <c r="A18" s="287"/>
      <c r="B18" s="288" t="s">
        <v>182</v>
      </c>
      <c r="C18" s="288"/>
      <c r="D18" s="24"/>
      <c r="E18" s="261"/>
      <c r="F18" s="19">
        <f t="shared" si="0"/>
        <v>0</v>
      </c>
      <c r="G18" s="19">
        <f t="shared" si="1"/>
        <v>0</v>
      </c>
      <c r="I18" s="26" t="str">
        <f t="shared" si="2"/>
        <v/>
      </c>
      <c r="J18" s="148" t="str">
        <f>IF(I18&lt;&gt;"",J17&amp;", "&amp;I18,J17)</f>
        <v/>
      </c>
    </row>
    <row r="19" spans="1:13" x14ac:dyDescent="0.25">
      <c r="A19" s="287"/>
      <c r="B19" s="288" t="s">
        <v>183</v>
      </c>
      <c r="C19" s="288"/>
      <c r="D19" s="24"/>
      <c r="E19" s="261"/>
      <c r="F19" s="19">
        <f t="shared" si="0"/>
        <v>0</v>
      </c>
      <c r="G19" s="19">
        <f t="shared" si="1"/>
        <v>0</v>
      </c>
      <c r="I19" s="26" t="str">
        <f t="shared" si="2"/>
        <v/>
      </c>
      <c r="J19" s="148" t="str">
        <f t="shared" ref="J19:J21" si="3">IF(I19&lt;&gt;"",J18&amp;", "&amp;I19,J18)</f>
        <v/>
      </c>
    </row>
    <row r="20" spans="1:13" x14ac:dyDescent="0.25">
      <c r="A20" s="287"/>
      <c r="B20" s="288" t="s">
        <v>184</v>
      </c>
      <c r="C20" s="288"/>
      <c r="D20" s="24"/>
      <c r="E20" s="261"/>
      <c r="F20" s="19">
        <f t="shared" si="0"/>
        <v>0</v>
      </c>
      <c r="G20" s="19">
        <f t="shared" si="1"/>
        <v>0</v>
      </c>
      <c r="I20" s="26" t="str">
        <f t="shared" si="2"/>
        <v/>
      </c>
      <c r="J20" s="148" t="str">
        <f t="shared" si="3"/>
        <v/>
      </c>
    </row>
    <row r="21" spans="1:13" x14ac:dyDescent="0.25">
      <c r="A21" s="287"/>
      <c r="B21" s="288" t="s">
        <v>185</v>
      </c>
      <c r="C21" s="288"/>
      <c r="D21" s="24"/>
      <c r="E21" s="261"/>
      <c r="F21" s="19">
        <f t="shared" si="0"/>
        <v>0</v>
      </c>
      <c r="G21" s="19">
        <f t="shared" si="1"/>
        <v>0</v>
      </c>
      <c r="I21" s="26" t="str">
        <f t="shared" si="2"/>
        <v/>
      </c>
      <c r="J21" s="148" t="str">
        <f t="shared" si="3"/>
        <v/>
      </c>
    </row>
    <row r="22" spans="1:13" x14ac:dyDescent="0.25">
      <c r="A22" s="287"/>
      <c r="B22" s="288" t="s">
        <v>186</v>
      </c>
      <c r="C22" s="288"/>
      <c r="D22" s="24"/>
      <c r="E22" s="261"/>
      <c r="F22" s="19">
        <f t="shared" si="0"/>
        <v>0</v>
      </c>
      <c r="G22" s="19">
        <f t="shared" si="1"/>
        <v>0</v>
      </c>
      <c r="I22" s="26" t="str">
        <f t="shared" si="2"/>
        <v/>
      </c>
      <c r="J22" s="148" t="str">
        <f>IF(I22&lt;&gt;"",J21&amp;", "&amp;I22,J21)</f>
        <v/>
      </c>
    </row>
    <row r="23" spans="1:13" x14ac:dyDescent="0.25">
      <c r="A23" s="287" t="s">
        <v>25</v>
      </c>
      <c r="B23" s="5" t="str">
        <f>IF(ISERROR(FIND(A23,'1. Allgemeines'!$B$25)),"","Kernfähigkeit")</f>
        <v/>
      </c>
      <c r="C23" s="25">
        <f>IF(A23=$B$6,1,2)</f>
        <v>2</v>
      </c>
      <c r="D23" s="24"/>
      <c r="E23" s="20" t="str">
        <f>IF(VLOOKUP("Makel "&amp;VLOOKUP(A23,'_Tabellen und Listen'!$B$145:$C$163,2,FALSE),'4. Nachteile'!$A$36:$B$54,2,FALSE)="ja","gesetzt",IF(ISERROR(FIND(A23,B$12)),"","ggf."))</f>
        <v>ggf.</v>
      </c>
      <c r="F23" s="19">
        <f>+D23+C23</f>
        <v>2</v>
      </c>
      <c r="G23" s="19">
        <f>IF(D23&gt;0,VLOOKUP(D23,'_Tabellen und Listen'!A$127:B$131,2,TRUE),0)</f>
        <v>0</v>
      </c>
      <c r="I23" s="4" t="str">
        <f>A23&amp;" "&amp;F23</f>
        <v>Ausdauer 2</v>
      </c>
      <c r="K23" s="148">
        <f>IF(L23&lt;&gt;"",1,0)+K16</f>
        <v>0</v>
      </c>
      <c r="L23" s="148" t="str">
        <f>IF(OR(F23&lt;&gt;2,SUM(F24:F25)&gt;0),A23,"")</f>
        <v/>
      </c>
      <c r="M23" s="148" t="str">
        <f>IFERROR(RIGHT(J25,LEN(J25)-2),"")</f>
        <v/>
      </c>
    </row>
    <row r="24" spans="1:13" x14ac:dyDescent="0.25">
      <c r="A24" s="287"/>
      <c r="B24" s="288" t="s">
        <v>187</v>
      </c>
      <c r="C24" s="288"/>
      <c r="D24" s="24"/>
      <c r="F24" s="19">
        <f>+D24</f>
        <v>0</v>
      </c>
      <c r="G24" s="19">
        <f>+F24*10</f>
        <v>0</v>
      </c>
      <c r="I24" s="26" t="str">
        <f>IF(F24&gt;0,B24&amp;" "&amp;F24&amp;"B","")</f>
        <v/>
      </c>
      <c r="J24" s="148" t="str">
        <f>IF(I24&lt;&gt;"",", "&amp;I24,"")</f>
        <v/>
      </c>
    </row>
    <row r="25" spans="1:13" x14ac:dyDescent="0.25">
      <c r="A25" s="287"/>
      <c r="B25" s="288" t="s">
        <v>528</v>
      </c>
      <c r="C25" s="288"/>
      <c r="D25" s="24"/>
      <c r="E25" s="261"/>
      <c r="F25" s="19">
        <f>+D25</f>
        <v>0</v>
      </c>
      <c r="G25" s="19">
        <f>+F25*10</f>
        <v>0</v>
      </c>
      <c r="I25" s="26" t="str">
        <f>IF(F25&gt;0,B25&amp;" "&amp;F25&amp;"B","")</f>
        <v/>
      </c>
      <c r="J25" s="148" t="str">
        <f>IF(I25&lt;&gt;"",J24&amp;", "&amp;I25,J24)</f>
        <v/>
      </c>
    </row>
    <row r="26" spans="1:13" x14ac:dyDescent="0.25">
      <c r="A26" s="287" t="s">
        <v>168</v>
      </c>
      <c r="B26" s="5" t="str">
        <f>IF(ISERROR(FIND(A26,'1. Allgemeines'!$B$25)),"","Kernfähigkeit")</f>
        <v/>
      </c>
      <c r="C26" s="25">
        <f>IF(A26=$B$6,1,2)</f>
        <v>2</v>
      </c>
      <c r="D26" s="24"/>
      <c r="E26" s="20" t="str">
        <f>IF(VLOOKUP("Makel "&amp;VLOOKUP(A26,'_Tabellen und Listen'!$B$145:$C$163,2,FALSE),'4. Nachteile'!$A$36:$B$54,2,FALSE)="ja","gesetzt",IF(ISERROR(FIND(A26,B$12)),"","ggf."))</f>
        <v/>
      </c>
      <c r="F26" s="19">
        <f>+D26+C26</f>
        <v>2</v>
      </c>
      <c r="G26" s="19">
        <f>IF(D26&gt;0,VLOOKUP(D26,'_Tabellen und Listen'!A$127:B$131,2,TRUE),0)</f>
        <v>0</v>
      </c>
      <c r="I26" s="4" t="str">
        <f>A26&amp;" "&amp;F26</f>
        <v>Diebeskunst 2</v>
      </c>
      <c r="K26" s="148">
        <f>IF(L26&lt;&gt;"",1,0)+K23</f>
        <v>0</v>
      </c>
      <c r="L26" s="148" t="str">
        <f>IF(OR(F26&lt;&gt;2,SUM(F27:F29)&gt;0),A26,"")</f>
        <v/>
      </c>
      <c r="M26" s="148" t="str">
        <f>IFERROR(RIGHT(J29,LEN(J29)-2),"")</f>
        <v/>
      </c>
    </row>
    <row r="27" spans="1:13" x14ac:dyDescent="0.25">
      <c r="A27" s="287"/>
      <c r="B27" s="288" t="s">
        <v>188</v>
      </c>
      <c r="C27" s="288"/>
      <c r="D27" s="24"/>
      <c r="E27" s="261" t="str">
        <f>IF(ISERROR(FIND(A26,B$12)),"","Makel")</f>
        <v/>
      </c>
      <c r="F27" s="19">
        <f>+D27</f>
        <v>0</v>
      </c>
      <c r="G27" s="19">
        <f>+F27*10</f>
        <v>0</v>
      </c>
      <c r="I27" s="26" t="str">
        <f>IF(F27&gt;0,B27&amp;" "&amp;F27&amp;"B","")</f>
        <v/>
      </c>
      <c r="J27" s="148" t="str">
        <f>IF(I27&lt;&gt;"",", "&amp;I27,"")</f>
        <v/>
      </c>
    </row>
    <row r="28" spans="1:13" x14ac:dyDescent="0.25">
      <c r="A28" s="287"/>
      <c r="B28" s="288" t="s">
        <v>189</v>
      </c>
      <c r="C28" s="288"/>
      <c r="D28" s="24"/>
      <c r="E28" s="261"/>
      <c r="F28" s="19">
        <f>+D28</f>
        <v>0</v>
      </c>
      <c r="G28" s="19">
        <f>+F28*10</f>
        <v>0</v>
      </c>
      <c r="I28" s="26" t="str">
        <f>IF(F28&gt;0,B28&amp;" "&amp;F28&amp;"B","")</f>
        <v/>
      </c>
      <c r="J28" s="148" t="str">
        <f>IF(I28&lt;&gt;"",J27&amp;", "&amp;I28,J27)</f>
        <v/>
      </c>
    </row>
    <row r="29" spans="1:13" x14ac:dyDescent="0.25">
      <c r="A29" s="287"/>
      <c r="B29" s="288" t="s">
        <v>190</v>
      </c>
      <c r="C29" s="288"/>
      <c r="D29" s="24"/>
      <c r="E29" s="261"/>
      <c r="F29" s="19">
        <f>+D29</f>
        <v>0</v>
      </c>
      <c r="G29" s="19">
        <f>+F29*10</f>
        <v>0</v>
      </c>
      <c r="I29" s="26" t="str">
        <f>IF(F29&gt;0,B29&amp;" "&amp;F29&amp;"B","")</f>
        <v/>
      </c>
      <c r="J29" s="148" t="str">
        <f t="shared" ref="J29" si="4">IF(I29&lt;&gt;"",J28&amp;", "&amp;I29,J28)</f>
        <v/>
      </c>
    </row>
    <row r="30" spans="1:13" x14ac:dyDescent="0.25">
      <c r="A30" s="287" t="s">
        <v>26</v>
      </c>
      <c r="B30" s="5" t="str">
        <f>IF(ISERROR(FIND(A30,'1. Allgemeines'!$B$25)),"","Kernfähigkeit")</f>
        <v/>
      </c>
      <c r="C30" s="25">
        <f>IF(A30=$B$6,1,2)</f>
        <v>2</v>
      </c>
      <c r="D30" s="24"/>
      <c r="E30" s="20" t="str">
        <f>IF(VLOOKUP("Makel "&amp;VLOOKUP(A30,'_Tabellen und Listen'!$B$145:$C$163,2,FALSE),'4. Nachteile'!$A$36:$B$54,2,FALSE)="ja","gesetzt",IF(ISERROR(FIND(A30,B$12)),"","ggf."))</f>
        <v>ggf.</v>
      </c>
      <c r="F30" s="19">
        <f>+D30+C30</f>
        <v>2</v>
      </c>
      <c r="G30" s="19">
        <f>IF(D30&gt;0,VLOOKUP(D30,'_Tabellen und Listen'!A$127:B$131,2,TRUE),0)</f>
        <v>0</v>
      </c>
      <c r="I30" s="4" t="str">
        <f>A30&amp;" "&amp;F30</f>
        <v>Gewandtheit 2</v>
      </c>
      <c r="K30" s="148">
        <f>IF(L30&lt;&gt;"",1,0)+K26</f>
        <v>0</v>
      </c>
      <c r="L30" s="148" t="str">
        <f>IF(OR(F30&lt;&gt;2,SUM(F31:F35)&gt;0),A30,"")</f>
        <v/>
      </c>
      <c r="M30" s="148" t="str">
        <f>IFERROR(RIGHT(J35,LEN(J35)-2),"")</f>
        <v/>
      </c>
    </row>
    <row r="31" spans="1:13" x14ac:dyDescent="0.25">
      <c r="A31" s="287"/>
      <c r="B31" s="288" t="s">
        <v>191</v>
      </c>
      <c r="C31" s="288"/>
      <c r="D31" s="24"/>
      <c r="E31" s="261"/>
      <c r="F31" s="19">
        <f>+D31</f>
        <v>0</v>
      </c>
      <c r="G31" s="19">
        <f>+F31*10</f>
        <v>0</v>
      </c>
      <c r="I31" s="26" t="str">
        <f>IF(F31&gt;0,B31&amp;" "&amp;F31&amp;"B","")</f>
        <v/>
      </c>
      <c r="J31" s="148" t="str">
        <f>IF(I31&lt;&gt;"",", "&amp;I31,"")</f>
        <v/>
      </c>
    </row>
    <row r="32" spans="1:13" x14ac:dyDescent="0.25">
      <c r="A32" s="287"/>
      <c r="B32" s="288" t="s">
        <v>192</v>
      </c>
      <c r="C32" s="288"/>
      <c r="D32" s="24"/>
      <c r="E32" s="261"/>
      <c r="F32" s="19">
        <f>+D32</f>
        <v>0</v>
      </c>
      <c r="G32" s="19">
        <f>+F32*10</f>
        <v>0</v>
      </c>
      <c r="I32" s="26" t="str">
        <f>IF(F32&gt;0,B32&amp;" "&amp;F32&amp;"B","")</f>
        <v/>
      </c>
      <c r="J32" s="148" t="str">
        <f>IF(I32&lt;&gt;"",J31&amp;", "&amp;I32,J31)</f>
        <v/>
      </c>
    </row>
    <row r="33" spans="1:13" x14ac:dyDescent="0.25">
      <c r="A33" s="287"/>
      <c r="B33" s="288" t="s">
        <v>193</v>
      </c>
      <c r="C33" s="288"/>
      <c r="D33" s="24"/>
      <c r="E33" s="261"/>
      <c r="F33" s="19">
        <f>+D33</f>
        <v>0</v>
      </c>
      <c r="G33" s="19">
        <f>+F33*10</f>
        <v>0</v>
      </c>
      <c r="I33" s="26" t="str">
        <f>IF(F33&gt;0,B33&amp;" "&amp;F33&amp;"B","")</f>
        <v/>
      </c>
      <c r="J33" s="148" t="str">
        <f t="shared" ref="J33:J35" si="5">IF(I33&lt;&gt;"",J32&amp;", "&amp;I33,J32)</f>
        <v/>
      </c>
    </row>
    <row r="34" spans="1:13" x14ac:dyDescent="0.25">
      <c r="A34" s="287"/>
      <c r="B34" s="288" t="s">
        <v>194</v>
      </c>
      <c r="C34" s="288"/>
      <c r="D34" s="24"/>
      <c r="E34" s="261"/>
      <c r="F34" s="19">
        <f>+D34</f>
        <v>0</v>
      </c>
      <c r="G34" s="19">
        <f>+F34*10</f>
        <v>0</v>
      </c>
      <c r="I34" s="26" t="str">
        <f>IF(F34&gt;0,B34&amp;" "&amp;F34&amp;"B","")</f>
        <v/>
      </c>
      <c r="J34" s="148" t="str">
        <f t="shared" si="5"/>
        <v/>
      </c>
    </row>
    <row r="35" spans="1:13" x14ac:dyDescent="0.25">
      <c r="A35" s="287"/>
      <c r="B35" s="288" t="s">
        <v>195</v>
      </c>
      <c r="C35" s="288"/>
      <c r="D35" s="24"/>
      <c r="E35" s="261"/>
      <c r="F35" s="19">
        <f>+D35</f>
        <v>0</v>
      </c>
      <c r="G35" s="19">
        <f>+F35*10</f>
        <v>0</v>
      </c>
      <c r="I35" s="26" t="str">
        <f>IF(F35&gt;0,B35&amp;" "&amp;F35&amp;"B","")</f>
        <v/>
      </c>
      <c r="J35" s="148" t="str">
        <f t="shared" si="5"/>
        <v/>
      </c>
    </row>
    <row r="36" spans="1:13" x14ac:dyDescent="0.25">
      <c r="A36" s="287" t="s">
        <v>169</v>
      </c>
      <c r="B36" s="5" t="str">
        <f>IF(ISERROR(FIND(A36,'1. Allgemeines'!$B$25)),"","Kernfähigkeit")</f>
        <v/>
      </c>
      <c r="C36" s="25">
        <f>IF(A36=$B$6,1,2)</f>
        <v>2</v>
      </c>
      <c r="D36" s="24"/>
      <c r="E36" s="20" t="str">
        <f>IF(VLOOKUP("Makel "&amp;VLOOKUP(A36,'_Tabellen und Listen'!$B$145:$C$163,2,FALSE),'4. Nachteile'!$A$36:$B$54,2,FALSE)="ja","gesetzt",IF(ISERROR(FIND(A36,B$12)),"","ggf."))</f>
        <v/>
      </c>
      <c r="F36" s="19">
        <f>+D36+C36</f>
        <v>2</v>
      </c>
      <c r="G36" s="19">
        <f>IF(D36&gt;0,VLOOKUP(D36,'_Tabellen und Listen'!A$127:B$131,2,TRUE),0)</f>
        <v>0</v>
      </c>
      <c r="I36" s="4" t="str">
        <f>A36&amp;" "&amp;F36</f>
        <v>Heilkunst 2</v>
      </c>
      <c r="K36" s="148">
        <f>IF(L36&lt;&gt;"",1,0)+K30</f>
        <v>0</v>
      </c>
      <c r="L36" s="148" t="str">
        <f>IF(OR(F36&lt;&gt;2,SUM(F37:F39)&gt;0),A36,"")</f>
        <v/>
      </c>
      <c r="M36" s="148" t="str">
        <f>IFERROR(RIGHT(J39,LEN(J39)-2),"")</f>
        <v/>
      </c>
    </row>
    <row r="37" spans="1:13" x14ac:dyDescent="0.25">
      <c r="A37" s="287"/>
      <c r="B37" s="288" t="s">
        <v>196</v>
      </c>
      <c r="C37" s="288"/>
      <c r="D37" s="24"/>
      <c r="E37" s="261" t="str">
        <f>IF(ISERROR(FIND(A36,B$12)),"","Makel")</f>
        <v/>
      </c>
      <c r="F37" s="19">
        <f>+D37</f>
        <v>0</v>
      </c>
      <c r="G37" s="19">
        <f>+F37*10</f>
        <v>0</v>
      </c>
      <c r="I37" s="26" t="str">
        <f>IF(F37&gt;0,B37&amp;" "&amp;F37&amp;"B","")</f>
        <v/>
      </c>
      <c r="J37" s="148" t="str">
        <f>IF(I37&lt;&gt;"",", "&amp;I37,"")</f>
        <v/>
      </c>
    </row>
    <row r="38" spans="1:13" x14ac:dyDescent="0.25">
      <c r="A38" s="287"/>
      <c r="B38" s="288" t="s">
        <v>197</v>
      </c>
      <c r="C38" s="288"/>
      <c r="D38" s="24"/>
      <c r="E38" s="261"/>
      <c r="F38" s="19">
        <f>+D38</f>
        <v>0</v>
      </c>
      <c r="G38" s="19">
        <f>+F38*10</f>
        <v>0</v>
      </c>
      <c r="I38" s="26" t="str">
        <f>IF(F38&gt;0,B38&amp;" "&amp;F38&amp;"B","")</f>
        <v/>
      </c>
      <c r="J38" s="148" t="str">
        <f>IF(I38&lt;&gt;"",J37&amp;", "&amp;I38,J37)</f>
        <v/>
      </c>
    </row>
    <row r="39" spans="1:13" x14ac:dyDescent="0.25">
      <c r="A39" s="287"/>
      <c r="B39" s="288" t="s">
        <v>198</v>
      </c>
      <c r="C39" s="288"/>
      <c r="D39" s="24"/>
      <c r="E39" s="261"/>
      <c r="F39" s="19">
        <f>+D39</f>
        <v>0</v>
      </c>
      <c r="G39" s="19">
        <f>+F39*10</f>
        <v>0</v>
      </c>
      <c r="I39" s="26" t="str">
        <f>IF(F39&gt;0,B39&amp;" "&amp;F39&amp;"B","")</f>
        <v/>
      </c>
      <c r="J39" s="148" t="str">
        <f t="shared" ref="J39" si="6">IF(I39&lt;&gt;"",J38&amp;", "&amp;I39,J38)</f>
        <v/>
      </c>
    </row>
    <row r="40" spans="1:13" x14ac:dyDescent="0.25">
      <c r="A40" s="287" t="s">
        <v>27</v>
      </c>
      <c r="B40" s="5" t="str">
        <f>IF(ISERROR(FIND(A40,'1. Allgemeines'!$B$25)),"","Kernfähigkeit")</f>
        <v/>
      </c>
      <c r="C40" s="25">
        <f>IF(A40=$B$6,1,2)</f>
        <v>2</v>
      </c>
      <c r="D40" s="24"/>
      <c r="E40" s="20" t="str">
        <f>IF(VLOOKUP("Makel "&amp;VLOOKUP(A40,'_Tabellen und Listen'!$B$145:$C$163,2,FALSE),'4. Nachteile'!$A$36:$B$54,2,FALSE)="ja","gesetzt",IF(ISERROR(FIND(A40,B$12)),"","ggf."))</f>
        <v/>
      </c>
      <c r="F40" s="19">
        <f>+D40+C40</f>
        <v>2</v>
      </c>
      <c r="G40" s="19">
        <f>IF(D40&gt;0,VLOOKUP(D40,'_Tabellen und Listen'!A$127:B$131,2,TRUE),0)</f>
        <v>0</v>
      </c>
      <c r="I40" s="4" t="str">
        <f>A40&amp;" "&amp;F40</f>
        <v>Kampf 2</v>
      </c>
      <c r="K40" s="148">
        <f>IF(L40&lt;&gt;"",1,0)+K36</f>
        <v>0</v>
      </c>
      <c r="L40" s="148" t="str">
        <f>IF(OR(F40&lt;&gt;2,SUM(F41:F49)&gt;0),A40,"")</f>
        <v/>
      </c>
      <c r="M40" s="148" t="str">
        <f>IFERROR(RIGHT(J49,LEN(J49)-2),"")</f>
        <v/>
      </c>
    </row>
    <row r="41" spans="1:13" x14ac:dyDescent="0.25">
      <c r="A41" s="287"/>
      <c r="B41" s="288" t="s">
        <v>199</v>
      </c>
      <c r="C41" s="288"/>
      <c r="D41" s="24"/>
      <c r="E41" s="261" t="str">
        <f>IF(ISERROR(FIND(A40,B$12)),"","Makel")</f>
        <v/>
      </c>
      <c r="F41" s="19">
        <f t="shared" ref="F41:F49" si="7">+D41</f>
        <v>0</v>
      </c>
      <c r="G41" s="19">
        <f t="shared" ref="G41:G49" si="8">+F41*10</f>
        <v>0</v>
      </c>
      <c r="I41" s="26" t="str">
        <f t="shared" ref="I41:I49" si="9">IF(F41&gt;0,B41&amp;" "&amp;F41&amp;"B","")</f>
        <v/>
      </c>
      <c r="J41" s="148" t="str">
        <f>IF(I41&lt;&gt;"",", "&amp;I41,"")</f>
        <v/>
      </c>
    </row>
    <row r="42" spans="1:13" x14ac:dyDescent="0.25">
      <c r="A42" s="287"/>
      <c r="B42" s="288" t="s">
        <v>200</v>
      </c>
      <c r="C42" s="288"/>
      <c r="D42" s="24"/>
      <c r="E42" s="261"/>
      <c r="F42" s="19">
        <f t="shared" si="7"/>
        <v>0</v>
      </c>
      <c r="G42" s="19">
        <f t="shared" si="8"/>
        <v>0</v>
      </c>
      <c r="I42" s="26" t="str">
        <f t="shared" si="9"/>
        <v/>
      </c>
      <c r="J42" s="148" t="str">
        <f>IF(I42&lt;&gt;"",J41&amp;", "&amp;I42,J41)</f>
        <v/>
      </c>
    </row>
    <row r="43" spans="1:13" x14ac:dyDescent="0.25">
      <c r="A43" s="287"/>
      <c r="B43" s="288" t="s">
        <v>201</v>
      </c>
      <c r="C43" s="288"/>
      <c r="D43" s="24"/>
      <c r="E43" s="261"/>
      <c r="F43" s="19">
        <f t="shared" si="7"/>
        <v>0</v>
      </c>
      <c r="G43" s="19">
        <f t="shared" si="8"/>
        <v>0</v>
      </c>
      <c r="I43" s="26" t="str">
        <f t="shared" si="9"/>
        <v/>
      </c>
      <c r="J43" s="148" t="str">
        <f t="shared" ref="J43:J49" si="10">IF(I43&lt;&gt;"",J42&amp;", "&amp;I43,J42)</f>
        <v/>
      </c>
    </row>
    <row r="44" spans="1:13" x14ac:dyDescent="0.25">
      <c r="A44" s="287"/>
      <c r="B44" s="288" t="s">
        <v>202</v>
      </c>
      <c r="C44" s="288"/>
      <c r="D44" s="24"/>
      <c r="E44" s="261"/>
      <c r="F44" s="19">
        <f t="shared" si="7"/>
        <v>0</v>
      </c>
      <c r="G44" s="19">
        <f t="shared" si="8"/>
        <v>0</v>
      </c>
      <c r="I44" s="26" t="str">
        <f t="shared" si="9"/>
        <v/>
      </c>
      <c r="J44" s="148" t="str">
        <f t="shared" si="10"/>
        <v/>
      </c>
    </row>
    <row r="45" spans="1:13" x14ac:dyDescent="0.25">
      <c r="A45" s="287"/>
      <c r="B45" s="288" t="s">
        <v>203</v>
      </c>
      <c r="C45" s="288"/>
      <c r="D45" s="24"/>
      <c r="E45" s="261"/>
      <c r="F45" s="19">
        <f t="shared" si="7"/>
        <v>0</v>
      </c>
      <c r="G45" s="19">
        <f t="shared" si="8"/>
        <v>0</v>
      </c>
      <c r="I45" s="26" t="str">
        <f t="shared" si="9"/>
        <v/>
      </c>
      <c r="J45" s="148" t="str">
        <f t="shared" si="10"/>
        <v/>
      </c>
    </row>
    <row r="46" spans="1:13" x14ac:dyDescent="0.25">
      <c r="A46" s="287"/>
      <c r="B46" s="288" t="s">
        <v>204</v>
      </c>
      <c r="C46" s="288"/>
      <c r="D46" s="24"/>
      <c r="E46" s="261"/>
      <c r="F46" s="19">
        <f t="shared" si="7"/>
        <v>0</v>
      </c>
      <c r="G46" s="19">
        <f t="shared" si="8"/>
        <v>0</v>
      </c>
      <c r="I46" s="26" t="str">
        <f t="shared" si="9"/>
        <v/>
      </c>
      <c r="J46" s="148" t="str">
        <f t="shared" si="10"/>
        <v/>
      </c>
    </row>
    <row r="47" spans="1:13" x14ac:dyDescent="0.25">
      <c r="A47" s="287"/>
      <c r="B47" s="288" t="s">
        <v>205</v>
      </c>
      <c r="C47" s="288"/>
      <c r="D47" s="24"/>
      <c r="E47" s="261"/>
      <c r="F47" s="19">
        <f t="shared" si="7"/>
        <v>0</v>
      </c>
      <c r="G47" s="19">
        <f t="shared" si="8"/>
        <v>0</v>
      </c>
      <c r="I47" s="26" t="str">
        <f t="shared" si="9"/>
        <v/>
      </c>
      <c r="J47" s="148" t="str">
        <f t="shared" si="10"/>
        <v/>
      </c>
    </row>
    <row r="48" spans="1:13" x14ac:dyDescent="0.25">
      <c r="A48" s="287"/>
      <c r="B48" s="288" t="s">
        <v>206</v>
      </c>
      <c r="C48" s="288"/>
      <c r="D48" s="24"/>
      <c r="E48" s="261"/>
      <c r="F48" s="19">
        <f t="shared" si="7"/>
        <v>0</v>
      </c>
      <c r="G48" s="19">
        <f t="shared" si="8"/>
        <v>0</v>
      </c>
      <c r="I48" s="26" t="str">
        <f t="shared" si="9"/>
        <v/>
      </c>
      <c r="J48" s="148" t="str">
        <f t="shared" si="10"/>
        <v/>
      </c>
    </row>
    <row r="49" spans="1:13" x14ac:dyDescent="0.25">
      <c r="A49" s="287"/>
      <c r="B49" s="288" t="s">
        <v>502</v>
      </c>
      <c r="C49" s="288"/>
      <c r="D49" s="24"/>
      <c r="E49" s="261"/>
      <c r="F49" s="19">
        <f t="shared" si="7"/>
        <v>0</v>
      </c>
      <c r="G49" s="19">
        <f t="shared" si="8"/>
        <v>0</v>
      </c>
      <c r="I49" s="26" t="str">
        <f t="shared" si="9"/>
        <v/>
      </c>
      <c r="J49" s="148" t="str">
        <f t="shared" si="10"/>
        <v/>
      </c>
    </row>
    <row r="50" spans="1:13" x14ac:dyDescent="0.25">
      <c r="A50" s="287" t="s">
        <v>170</v>
      </c>
      <c r="B50" s="5"/>
      <c r="C50" s="25">
        <f>IF(A50=$B$6,1,2)</f>
        <v>2</v>
      </c>
      <c r="D50" s="24"/>
      <c r="E50" s="20" t="str">
        <f>IF(VLOOKUP("Makel "&amp;VLOOKUP(A50,'_Tabellen und Listen'!$B$145:$C$163,2,FALSE),'4. Nachteile'!$A$36:$B$54,2,FALSE)="ja","gesetzt",IF(ISERROR(FIND(A50,B$12)),"","ggf."))</f>
        <v/>
      </c>
      <c r="F50" s="19">
        <f>+D50+C50</f>
        <v>2</v>
      </c>
      <c r="G50" s="19">
        <f>IF(D50&gt;0,VLOOKUP(D50,'_Tabellen und Listen'!A$127:B$131,2,TRUE),0)</f>
        <v>0</v>
      </c>
      <c r="I50" s="4" t="str">
        <f>A50&amp;" "&amp;F50</f>
        <v>Kriegsführung 2</v>
      </c>
      <c r="K50" s="148">
        <f>IF(L50&lt;&gt;"",1,0)+K40</f>
        <v>0</v>
      </c>
      <c r="L50" s="148" t="str">
        <f>IF(OR(F50&lt;&gt;2,SUM(F51:F53)&gt;0),A50,"")</f>
        <v/>
      </c>
      <c r="M50" s="148" t="str">
        <f>IFERROR(RIGHT(J53,LEN(J53)-2),"")</f>
        <v/>
      </c>
    </row>
    <row r="51" spans="1:13" x14ac:dyDescent="0.25">
      <c r="A51" s="287"/>
      <c r="B51" s="288" t="s">
        <v>207</v>
      </c>
      <c r="C51" s="288"/>
      <c r="D51" s="24"/>
      <c r="E51" s="261" t="str">
        <f>IF(ISERROR(FIND(A50,B$12)),"","Makel")</f>
        <v/>
      </c>
      <c r="F51" s="19">
        <f>+D51</f>
        <v>0</v>
      </c>
      <c r="G51" s="19">
        <f>+F51*10</f>
        <v>0</v>
      </c>
      <c r="I51" s="26" t="str">
        <f>IF(F51&gt;0,B51&amp;" "&amp;F51&amp;"B","")</f>
        <v/>
      </c>
      <c r="J51" s="148" t="str">
        <f>IF(I51&lt;&gt;"",", "&amp;I51,"")</f>
        <v/>
      </c>
    </row>
    <row r="52" spans="1:13" x14ac:dyDescent="0.25">
      <c r="A52" s="287"/>
      <c r="B52" s="288" t="s">
        <v>208</v>
      </c>
      <c r="C52" s="288"/>
      <c r="D52" s="24"/>
      <c r="E52" s="261"/>
      <c r="F52" s="19">
        <f>+D52</f>
        <v>0</v>
      </c>
      <c r="G52" s="19">
        <f>+F52*10</f>
        <v>0</v>
      </c>
      <c r="I52" s="26" t="str">
        <f>IF(F52&gt;0,B52&amp;" "&amp;F52&amp;"B","")</f>
        <v/>
      </c>
      <c r="J52" s="148" t="str">
        <f>IF(I52&lt;&gt;"",J51&amp;", "&amp;I52,J51)</f>
        <v/>
      </c>
    </row>
    <row r="53" spans="1:13" x14ac:dyDescent="0.25">
      <c r="A53" s="287"/>
      <c r="B53" s="288" t="s">
        <v>209</v>
      </c>
      <c r="C53" s="288"/>
      <c r="D53" s="24"/>
      <c r="E53" s="261"/>
      <c r="F53" s="19">
        <f>+D53</f>
        <v>0</v>
      </c>
      <c r="G53" s="19">
        <f>+F53*10</f>
        <v>0</v>
      </c>
      <c r="I53" s="26" t="str">
        <f>IF(F53&gt;0,B53&amp;" "&amp;F53&amp;"B","")</f>
        <v/>
      </c>
      <c r="J53" s="148" t="str">
        <f t="shared" ref="J53" si="11">IF(I53&lt;&gt;"",J52&amp;", "&amp;I53,J52)</f>
        <v/>
      </c>
    </row>
    <row r="54" spans="1:13" x14ac:dyDescent="0.25">
      <c r="A54" s="287" t="s">
        <v>171</v>
      </c>
      <c r="B54" s="5" t="str">
        <f>IF(ISERROR(FIND(A54,'1. Allgemeines'!$B$25)),"","Kernfähigkeit")</f>
        <v/>
      </c>
      <c r="C54" s="25">
        <f>IF(A54=$B$6,1,2)</f>
        <v>2</v>
      </c>
      <c r="D54" s="24"/>
      <c r="E54" s="20" t="str">
        <f>IF(VLOOKUP("Makel "&amp;VLOOKUP(A54,'_Tabellen und Listen'!$B$145:$C$163,2,FALSE),'4. Nachteile'!$A$36:$B$54,2,FALSE)="ja","gesetzt",IF(ISERROR(FIND(A54,B$12)),"","ggf."))</f>
        <v/>
      </c>
      <c r="F54" s="19">
        <f>+D54+C54</f>
        <v>2</v>
      </c>
      <c r="G54" s="19">
        <f>IF(D54&gt;0,VLOOKUP(D54,'_Tabellen und Listen'!A$127:B$131,2,TRUE),0)</f>
        <v>0</v>
      </c>
      <c r="I54" s="4" t="str">
        <f>A54&amp;" "&amp;F54</f>
        <v>Scharfsinn 2</v>
      </c>
      <c r="K54" s="148">
        <f>IF(L54&lt;&gt;"",1,0)+K50</f>
        <v>0</v>
      </c>
      <c r="L54" s="148" t="str">
        <f>IF(OR(F54&lt;&gt;2,SUM(F55:F57)&gt;0),A54,"")</f>
        <v/>
      </c>
      <c r="M54" s="148" t="str">
        <f>IFERROR(RIGHT(J57,LEN(J57)-2),"")</f>
        <v/>
      </c>
    </row>
    <row r="55" spans="1:13" x14ac:dyDescent="0.25">
      <c r="A55" s="287"/>
      <c r="B55" s="288" t="s">
        <v>212</v>
      </c>
      <c r="C55" s="288"/>
      <c r="D55" s="24"/>
      <c r="E55" s="261" t="str">
        <f>IF(ISERROR(FIND(A54,B$12)),"","Makel")</f>
        <v/>
      </c>
      <c r="F55" s="19">
        <f>+D55</f>
        <v>0</v>
      </c>
      <c r="G55" s="19">
        <f>+F55*10</f>
        <v>0</v>
      </c>
      <c r="I55" s="26" t="str">
        <f>IF(F55&gt;0,B55&amp;" "&amp;F55&amp;"B","")</f>
        <v/>
      </c>
      <c r="J55" s="148" t="str">
        <f>IF(I55&lt;&gt;"",", "&amp;I55,"")</f>
        <v/>
      </c>
    </row>
    <row r="56" spans="1:13" x14ac:dyDescent="0.25">
      <c r="A56" s="287"/>
      <c r="B56" s="288" t="s">
        <v>210</v>
      </c>
      <c r="C56" s="288"/>
      <c r="D56" s="24"/>
      <c r="E56" s="261"/>
      <c r="F56" s="19">
        <f>+D56</f>
        <v>0</v>
      </c>
      <c r="G56" s="19">
        <f>+F56*10</f>
        <v>0</v>
      </c>
      <c r="I56" s="26" t="str">
        <f>IF(F56&gt;0,B56&amp;" "&amp;F56&amp;"B","")</f>
        <v/>
      </c>
      <c r="J56" s="148" t="str">
        <f>IF(I56&lt;&gt;"",J55&amp;", "&amp;I56,J55)</f>
        <v/>
      </c>
    </row>
    <row r="57" spans="1:13" x14ac:dyDescent="0.25">
      <c r="A57" s="287"/>
      <c r="B57" s="288" t="s">
        <v>211</v>
      </c>
      <c r="C57" s="288"/>
      <c r="D57" s="24"/>
      <c r="E57" s="261"/>
      <c r="F57" s="19">
        <f>+D57</f>
        <v>0</v>
      </c>
      <c r="G57" s="19">
        <f>+F57*10</f>
        <v>0</v>
      </c>
      <c r="I57" s="26" t="str">
        <f>IF(F57&gt;0,B57&amp;" "&amp;F57&amp;"B","")</f>
        <v/>
      </c>
      <c r="J57" s="148" t="str">
        <f t="shared" ref="J57" si="12">IF(I57&lt;&gt;"",J56&amp;", "&amp;I57,J56)</f>
        <v/>
      </c>
    </row>
    <row r="58" spans="1:13" x14ac:dyDescent="0.25">
      <c r="A58" s="287" t="s">
        <v>172</v>
      </c>
      <c r="B58" s="5" t="str">
        <f>IF(ISERROR(FIND(A58,'1. Allgemeines'!$B$25)),"","Kernfähigkeit")</f>
        <v/>
      </c>
      <c r="C58" s="25">
        <f>IF(A58=$B$6,1,2)</f>
        <v>2</v>
      </c>
      <c r="D58" s="24"/>
      <c r="E58" s="20" t="str">
        <f>IF(VLOOKUP("Makel "&amp;VLOOKUP(A58,'_Tabellen und Listen'!$B$145:$C$163,2,FALSE),'4. Nachteile'!$A$36:$B$54,2,FALSE)="ja","gesetzt",IF(ISERROR(FIND(A58,B$12)),"","ggf."))</f>
        <v/>
      </c>
      <c r="F58" s="19">
        <f>+D58+C58</f>
        <v>2</v>
      </c>
      <c r="G58" s="19">
        <f>IF(D58&gt;0,VLOOKUP(D58,'_Tabellen und Listen'!A$127:B$131,2,TRUE),0)</f>
        <v>0</v>
      </c>
      <c r="I58" s="4" t="str">
        <f>A58&amp;" "&amp;F58</f>
        <v>Schiesskunst 2</v>
      </c>
      <c r="K58" s="148">
        <f>IF(L58&lt;&gt;"",1,0)+K54</f>
        <v>0</v>
      </c>
      <c r="L58" s="148" t="str">
        <f>IF(OR(F58&lt;&gt;2,SUM(F59:F62)&gt;0),A58,"")</f>
        <v/>
      </c>
      <c r="M58" s="148" t="str">
        <f>IFERROR(RIGHT(J62,LEN(J62)-2),"")</f>
        <v/>
      </c>
    </row>
    <row r="59" spans="1:13" x14ac:dyDescent="0.25">
      <c r="A59" s="287"/>
      <c r="B59" s="288" t="s">
        <v>213</v>
      </c>
      <c r="C59" s="288"/>
      <c r="D59" s="24"/>
      <c r="E59" s="261" t="str">
        <f>IF(ISERROR(FIND(A58,B$12)),"","Makel")</f>
        <v/>
      </c>
      <c r="F59" s="19">
        <f>+D59</f>
        <v>0</v>
      </c>
      <c r="G59" s="19">
        <f>+F59*10</f>
        <v>0</v>
      </c>
      <c r="I59" s="26" t="str">
        <f>IF(F59&gt;0,B59&amp;" "&amp;F59&amp;"B","")</f>
        <v/>
      </c>
      <c r="J59" s="148" t="str">
        <f>IF(I59&lt;&gt;"",", "&amp;I59,"")</f>
        <v/>
      </c>
    </row>
    <row r="60" spans="1:13" x14ac:dyDescent="0.25">
      <c r="A60" s="287"/>
      <c r="B60" s="288" t="s">
        <v>214</v>
      </c>
      <c r="C60" s="288"/>
      <c r="D60" s="24"/>
      <c r="E60" s="261"/>
      <c r="F60" s="19">
        <f>+D60</f>
        <v>0</v>
      </c>
      <c r="G60" s="19">
        <f>+F60*10</f>
        <v>0</v>
      </c>
      <c r="I60" s="26" t="str">
        <f>IF(F60&gt;0,B60&amp;" "&amp;F60&amp;"B","")</f>
        <v/>
      </c>
      <c r="J60" s="148" t="str">
        <f>IF(I60&lt;&gt;"",J59&amp;", "&amp;I60,J59)</f>
        <v/>
      </c>
    </row>
    <row r="61" spans="1:13" x14ac:dyDescent="0.25">
      <c r="A61" s="287"/>
      <c r="B61" s="288" t="s">
        <v>215</v>
      </c>
      <c r="C61" s="288"/>
      <c r="D61" s="24"/>
      <c r="E61" s="261"/>
      <c r="F61" s="19">
        <f>+D61</f>
        <v>0</v>
      </c>
      <c r="G61" s="19">
        <f>+F61*10</f>
        <v>0</v>
      </c>
      <c r="I61" s="26" t="str">
        <f>IF(F61&gt;0,B61&amp;" "&amp;F61&amp;"B","")</f>
        <v/>
      </c>
      <c r="J61" s="148" t="str">
        <f t="shared" ref="J61:J62" si="13">IF(I61&lt;&gt;"",J60&amp;", "&amp;I61,J60)</f>
        <v/>
      </c>
    </row>
    <row r="62" spans="1:13" x14ac:dyDescent="0.25">
      <c r="A62" s="287"/>
      <c r="B62" s="288" t="s">
        <v>216</v>
      </c>
      <c r="C62" s="288"/>
      <c r="D62" s="24"/>
      <c r="E62" s="261"/>
      <c r="F62" s="19">
        <f>+D62</f>
        <v>0</v>
      </c>
      <c r="G62" s="19">
        <f>+F62*10</f>
        <v>0</v>
      </c>
      <c r="I62" s="26" t="str">
        <f>IF(F62&gt;0,B62&amp;" "&amp;F62&amp;"B","")</f>
        <v/>
      </c>
      <c r="J62" s="148" t="str">
        <f t="shared" si="13"/>
        <v/>
      </c>
    </row>
    <row r="63" spans="1:13" x14ac:dyDescent="0.25">
      <c r="A63" s="295" t="s">
        <v>156</v>
      </c>
      <c r="B63" s="5" t="str">
        <f>IF(ISERROR(FIND(A63,'1. Allgemeines'!$B$25)),"","Kernfähigkeit")</f>
        <v/>
      </c>
      <c r="C63" s="25">
        <f>IF(A63=$B$6,1,2)</f>
        <v>2</v>
      </c>
      <c r="D63" s="239">
        <f>SUM(D64:D79)</f>
        <v>0</v>
      </c>
      <c r="E63" s="20" t="str">
        <f>IF(VLOOKUP("Makel "&amp;VLOOKUP(A63,'_Tabellen und Listen'!$B$145:$C$163,2,FALSE),'4. Nachteile'!$A$36:$B$54,2,FALSE)="ja","gesetzt",IF(ISERROR(FIND(A63,B$12)),"","ggf."))</f>
        <v/>
      </c>
      <c r="F63" s="19">
        <f>+D63+C63</f>
        <v>2</v>
      </c>
      <c r="G63" s="19"/>
      <c r="I63" s="4" t="str">
        <f>A63</f>
        <v>Sprache</v>
      </c>
      <c r="K63" s="148">
        <f>IF(L63&lt;&gt;"",1,0)+K58</f>
        <v>0</v>
      </c>
      <c r="L63" s="148" t="str">
        <f>IF(F63&lt;&gt;2,A63,"")</f>
        <v/>
      </c>
      <c r="M63" s="148" t="str">
        <f>IFERROR(RIGHT(J79,LEN(J79)-2),"")</f>
        <v>Gemeine Zunge 2</v>
      </c>
    </row>
    <row r="64" spans="1:13" x14ac:dyDescent="0.25">
      <c r="A64" s="296"/>
      <c r="B64" s="32" t="str">
        <f>'_Tabellen und Listen'!A297</f>
        <v>Gemeine Zunge</v>
      </c>
      <c r="C64" s="240" t="s">
        <v>939</v>
      </c>
      <c r="D64" s="24"/>
      <c r="E64" s="261" t="str">
        <f>IF(ISERROR(FIND(A63,B$12)),"","Makel")</f>
        <v/>
      </c>
      <c r="F64" s="19">
        <f>+D64+IF(C64="Primärsprache",$C$63,0)</f>
        <v>2</v>
      </c>
      <c r="G64" s="19">
        <f>IF(D64&gt;0,VLOOKUP(D64,'_Tabellen und Listen'!A$127:B$131,2,TRUE),0)</f>
        <v>0</v>
      </c>
      <c r="I64" s="26" t="str">
        <f>IF(F64&gt;0,B64&amp;" "&amp;F64,"")</f>
        <v>Gemeine Zunge 2</v>
      </c>
      <c r="J64" s="148" t="str">
        <f t="shared" ref="J64" si="14">IF(I64&lt;&gt;"",", "&amp;I64,"")</f>
        <v>, Gemeine Zunge 2</v>
      </c>
      <c r="K64" s="148"/>
      <c r="L64" s="148"/>
      <c r="M64" s="148"/>
    </row>
    <row r="65" spans="1:13" x14ac:dyDescent="0.25">
      <c r="A65" s="296"/>
      <c r="B65" s="32" t="str">
        <f>'_Tabellen und Listen'!A298</f>
        <v>Alte Sprache</v>
      </c>
      <c r="C65" s="240"/>
      <c r="D65" s="24"/>
      <c r="E65" s="291" t="str">
        <f>IF(C64&lt;&gt;"Primärsprache","Hinweis: Gemeine Zunge ist nach den Regeln als Primärsprache zu wählen!","")</f>
        <v/>
      </c>
      <c r="F65" s="19">
        <f t="shared" ref="F65:F79" si="15">+D65+IF(C65="Primärsprache",$C$63,0)</f>
        <v>0</v>
      </c>
      <c r="G65" s="19">
        <f>IF(D65&gt;0,VLOOKUP(D65,'_Tabellen und Listen'!A$127:B$131,2,TRUE),0)</f>
        <v>0</v>
      </c>
      <c r="I65" s="26" t="str">
        <f>IF(F65&gt;0,B65&amp;" "&amp;F65,"")</f>
        <v/>
      </c>
      <c r="J65" s="148" t="str">
        <f t="shared" ref="J65:J79" si="16">IF(I65&lt;&gt;"",J64&amp;", "&amp;I65,J64)</f>
        <v>, Gemeine Zunge 2</v>
      </c>
      <c r="K65" s="148"/>
      <c r="L65" s="148"/>
      <c r="M65" s="148"/>
    </row>
    <row r="66" spans="1:13" x14ac:dyDescent="0.25">
      <c r="A66" s="296"/>
      <c r="B66" s="32" t="str">
        <f>'_Tabellen und Listen'!A299</f>
        <v>Asshai</v>
      </c>
      <c r="C66" s="240"/>
      <c r="D66" s="24"/>
      <c r="E66" s="291"/>
      <c r="F66" s="19">
        <f t="shared" si="15"/>
        <v>0</v>
      </c>
      <c r="G66" s="19">
        <f>IF(D66&gt;0,VLOOKUP(D66,'_Tabellen und Listen'!A$127:B$131,2,TRUE),0)</f>
        <v>0</v>
      </c>
      <c r="I66" s="26" t="str">
        <f t="shared" ref="I66:I79" si="17">IF(F66&gt;0,B66&amp;" "&amp;F66,"")</f>
        <v/>
      </c>
      <c r="J66" s="148" t="str">
        <f t="shared" si="16"/>
        <v>, Gemeine Zunge 2</v>
      </c>
      <c r="K66" s="148"/>
      <c r="L66" s="148"/>
      <c r="M66" s="148"/>
    </row>
    <row r="67" spans="1:13" x14ac:dyDescent="0.25">
      <c r="A67" s="296"/>
      <c r="B67" s="32" t="str">
        <f>'_Tabellen und Listen'!A300</f>
        <v>Braavost</v>
      </c>
      <c r="C67" s="240"/>
      <c r="D67" s="24"/>
      <c r="E67" s="291"/>
      <c r="F67" s="19">
        <f t="shared" si="15"/>
        <v>0</v>
      </c>
      <c r="G67" s="19">
        <f>IF(D67&gt;0,VLOOKUP(D67,'_Tabellen und Listen'!A$127:B$131,2,TRUE),0)</f>
        <v>0</v>
      </c>
      <c r="I67" s="26" t="str">
        <f t="shared" si="17"/>
        <v/>
      </c>
      <c r="J67" s="148" t="str">
        <f t="shared" si="16"/>
        <v>, Gemeine Zunge 2</v>
      </c>
      <c r="K67" s="148"/>
      <c r="L67" s="148"/>
      <c r="M67" s="148"/>
    </row>
    <row r="68" spans="1:13" x14ac:dyDescent="0.25">
      <c r="A68" s="296"/>
      <c r="B68" s="32" t="str">
        <f>'_Tabellen und Listen'!A301</f>
        <v>Dothraki</v>
      </c>
      <c r="C68" s="240"/>
      <c r="D68" s="24"/>
      <c r="E68" s="291"/>
      <c r="F68" s="19">
        <f t="shared" si="15"/>
        <v>0</v>
      </c>
      <c r="G68" s="19">
        <f>IF(D68&gt;0,VLOOKUP(D68,'_Tabellen und Listen'!A$127:B$131,2,TRUE),0)</f>
        <v>0</v>
      </c>
      <c r="I68" s="26" t="str">
        <f t="shared" si="17"/>
        <v/>
      </c>
      <c r="J68" s="148" t="str">
        <f t="shared" si="16"/>
        <v>, Gemeine Zunge 2</v>
      </c>
      <c r="K68" s="148"/>
      <c r="L68" s="148"/>
      <c r="M68" s="148"/>
    </row>
    <row r="69" spans="1:13" x14ac:dyDescent="0.25">
      <c r="A69" s="296"/>
      <c r="B69" s="32" t="str">
        <f>'_Tabellen und Listen'!A302</f>
        <v>Ghiscari</v>
      </c>
      <c r="C69" s="240"/>
      <c r="D69" s="24"/>
      <c r="E69" s="291"/>
      <c r="F69" s="19">
        <f t="shared" si="15"/>
        <v>0</v>
      </c>
      <c r="G69" s="19">
        <f>IF(D69&gt;0,VLOOKUP(D69,'_Tabellen und Listen'!A$127:B$131,2,TRUE),0)</f>
        <v>0</v>
      </c>
      <c r="I69" s="26" t="str">
        <f t="shared" si="17"/>
        <v/>
      </c>
      <c r="J69" s="148" t="str">
        <f t="shared" si="16"/>
        <v>, Gemeine Zunge 2</v>
      </c>
      <c r="K69" s="148"/>
      <c r="L69" s="148"/>
      <c r="M69" s="148"/>
    </row>
    <row r="70" spans="1:13" x14ac:dyDescent="0.25">
      <c r="A70" s="296"/>
      <c r="B70" s="32" t="str">
        <f>'_Tabellen und Listen'!A303</f>
        <v>Ibbenesisch</v>
      </c>
      <c r="C70" s="240"/>
      <c r="D70" s="24"/>
      <c r="E70" s="291"/>
      <c r="F70" s="19">
        <f t="shared" si="15"/>
        <v>0</v>
      </c>
      <c r="G70" s="19">
        <f>IF(D70&gt;0,VLOOKUP(D70,'_Tabellen und Listen'!A$127:B$131,2,TRUE),0)</f>
        <v>0</v>
      </c>
      <c r="I70" s="26" t="str">
        <f t="shared" si="17"/>
        <v/>
      </c>
      <c r="J70" s="148" t="str">
        <f t="shared" si="16"/>
        <v>, Gemeine Zunge 2</v>
      </c>
      <c r="K70" s="148"/>
      <c r="L70" s="148"/>
      <c r="M70" s="148"/>
    </row>
    <row r="71" spans="1:13" x14ac:dyDescent="0.25">
      <c r="A71" s="296"/>
      <c r="B71" s="32" t="str">
        <f>'_Tabellen und Listen'!A304</f>
        <v>Lysenisch</v>
      </c>
      <c r="C71" s="240"/>
      <c r="D71" s="24"/>
      <c r="E71" s="291"/>
      <c r="F71" s="19">
        <f t="shared" si="15"/>
        <v>0</v>
      </c>
      <c r="G71" s="19">
        <f>IF(D71&gt;0,VLOOKUP(D71,'_Tabellen und Listen'!A$127:B$131,2,TRUE),0)</f>
        <v>0</v>
      </c>
      <c r="I71" s="26" t="str">
        <f t="shared" si="17"/>
        <v/>
      </c>
      <c r="J71" s="148" t="str">
        <f t="shared" si="16"/>
        <v>, Gemeine Zunge 2</v>
      </c>
      <c r="K71" s="148"/>
      <c r="L71" s="148"/>
      <c r="M71" s="148"/>
    </row>
    <row r="72" spans="1:13" x14ac:dyDescent="0.25">
      <c r="A72" s="296"/>
      <c r="B72" s="32" t="str">
        <f>'_Tabellen und Listen'!A305</f>
        <v>Myrisch</v>
      </c>
      <c r="C72" s="240"/>
      <c r="D72" s="24"/>
      <c r="E72" s="291"/>
      <c r="F72" s="19">
        <f t="shared" si="15"/>
        <v>0</v>
      </c>
      <c r="G72" s="19">
        <f>IF(D72&gt;0,VLOOKUP(D72,'_Tabellen und Listen'!A$127:B$131,2,TRUE),0)</f>
        <v>0</v>
      </c>
      <c r="I72" s="26" t="str">
        <f t="shared" si="17"/>
        <v/>
      </c>
      <c r="J72" s="148" t="str">
        <f t="shared" si="16"/>
        <v>, Gemeine Zunge 2</v>
      </c>
      <c r="K72" s="148"/>
      <c r="L72" s="148"/>
      <c r="M72" s="148"/>
    </row>
    <row r="73" spans="1:13" x14ac:dyDescent="0.25">
      <c r="A73" s="296"/>
      <c r="B73" s="32" t="str">
        <f>'_Tabellen und Listen'!A306</f>
        <v>Norvosan</v>
      </c>
      <c r="C73" s="240"/>
      <c r="D73" s="24"/>
      <c r="E73" s="291"/>
      <c r="F73" s="19">
        <f t="shared" si="15"/>
        <v>0</v>
      </c>
      <c r="G73" s="19">
        <f>IF(D73&gt;0,VLOOKUP(D73,'_Tabellen und Listen'!A$127:B$131,2,TRUE),0)</f>
        <v>0</v>
      </c>
      <c r="I73" s="26" t="str">
        <f t="shared" si="17"/>
        <v/>
      </c>
      <c r="J73" s="148" t="str">
        <f t="shared" si="16"/>
        <v>, Gemeine Zunge 2</v>
      </c>
      <c r="K73" s="148"/>
      <c r="L73" s="148"/>
      <c r="M73" s="148"/>
    </row>
    <row r="74" spans="1:13" x14ac:dyDescent="0.25">
      <c r="A74" s="296"/>
      <c r="B74" s="32" t="str">
        <f>'_Tabellen und Listen'!A307</f>
        <v>Pentoshi</v>
      </c>
      <c r="C74" s="240"/>
      <c r="D74" s="24"/>
      <c r="E74" s="291"/>
      <c r="F74" s="19">
        <f t="shared" si="15"/>
        <v>0</v>
      </c>
      <c r="G74" s="19">
        <f>IF(D74&gt;0,VLOOKUP(D74,'_Tabellen und Listen'!A$127:B$131,2,TRUE),0)</f>
        <v>0</v>
      </c>
      <c r="I74" s="26" t="str">
        <f t="shared" si="17"/>
        <v/>
      </c>
      <c r="J74" s="148" t="str">
        <f t="shared" si="16"/>
        <v>, Gemeine Zunge 2</v>
      </c>
      <c r="K74" s="148"/>
      <c r="L74" s="148"/>
      <c r="M74" s="148"/>
    </row>
    <row r="75" spans="1:13" x14ac:dyDescent="0.25">
      <c r="A75" s="296"/>
      <c r="B75" s="32" t="str">
        <f>'_Tabellen und Listen'!A308</f>
        <v>Qartheen</v>
      </c>
      <c r="C75" s="240"/>
      <c r="D75" s="24"/>
      <c r="E75" s="291"/>
      <c r="F75" s="19">
        <f t="shared" si="15"/>
        <v>0</v>
      </c>
      <c r="G75" s="19">
        <f>IF(D75&gt;0,VLOOKUP(D75,'_Tabellen und Listen'!A$127:B$131,2,TRUE),0)</f>
        <v>0</v>
      </c>
      <c r="I75" s="26" t="str">
        <f t="shared" si="17"/>
        <v/>
      </c>
      <c r="J75" s="148" t="str">
        <f t="shared" si="16"/>
        <v>, Gemeine Zunge 2</v>
      </c>
      <c r="K75" s="148"/>
      <c r="L75" s="148"/>
      <c r="M75" s="148"/>
    </row>
    <row r="76" spans="1:13" x14ac:dyDescent="0.25">
      <c r="A76" s="296"/>
      <c r="B76" s="32" t="str">
        <f>'_Tabellen und Listen'!A309</f>
        <v>Sklavenhändlerjargon</v>
      </c>
      <c r="C76" s="240"/>
      <c r="D76" s="24"/>
      <c r="E76" s="291"/>
      <c r="F76" s="19">
        <f t="shared" si="15"/>
        <v>0</v>
      </c>
      <c r="G76" s="19">
        <f>IF(D76&gt;0,VLOOKUP(D76,'_Tabellen und Listen'!A$127:B$131,2,TRUE),0)</f>
        <v>0</v>
      </c>
      <c r="I76" s="26" t="str">
        <f t="shared" si="17"/>
        <v/>
      </c>
      <c r="J76" s="148" t="str">
        <f t="shared" si="16"/>
        <v>, Gemeine Zunge 2</v>
      </c>
      <c r="K76" s="148"/>
      <c r="L76" s="148"/>
      <c r="M76" s="148"/>
    </row>
    <row r="77" spans="1:13" x14ac:dyDescent="0.25">
      <c r="A77" s="296"/>
      <c r="B77" s="32" t="str">
        <f>'_Tabellen und Listen'!A310</f>
        <v>Tyroshi</v>
      </c>
      <c r="C77" s="240"/>
      <c r="D77" s="24"/>
      <c r="E77" s="291"/>
      <c r="F77" s="19">
        <f t="shared" si="15"/>
        <v>0</v>
      </c>
      <c r="G77" s="19">
        <f>IF(D77&gt;0,VLOOKUP(D77,'_Tabellen und Listen'!A$127:B$131,2,TRUE),0)</f>
        <v>0</v>
      </c>
      <c r="I77" s="26" t="str">
        <f t="shared" si="17"/>
        <v/>
      </c>
      <c r="J77" s="148" t="str">
        <f t="shared" si="16"/>
        <v>, Gemeine Zunge 2</v>
      </c>
      <c r="K77" s="148"/>
      <c r="L77" s="148"/>
      <c r="M77" s="148"/>
    </row>
    <row r="78" spans="1:13" x14ac:dyDescent="0.25">
      <c r="A78" s="296"/>
      <c r="B78" s="32" t="str">
        <f>'_Tabellen und Listen'!A311</f>
        <v>Valyrisch</v>
      </c>
      <c r="C78" s="240"/>
      <c r="D78" s="24"/>
      <c r="E78" s="291"/>
      <c r="F78" s="19">
        <f t="shared" si="15"/>
        <v>0</v>
      </c>
      <c r="G78" s="19">
        <f>IF(D78&gt;0,VLOOKUP(D78,'_Tabellen und Listen'!A$127:B$131,2,TRUE),0)</f>
        <v>0</v>
      </c>
      <c r="I78" s="26" t="str">
        <f t="shared" si="17"/>
        <v/>
      </c>
      <c r="J78" s="148" t="str">
        <f t="shared" si="16"/>
        <v>, Gemeine Zunge 2</v>
      </c>
      <c r="K78" s="148"/>
      <c r="L78" s="148"/>
      <c r="M78" s="148"/>
    </row>
    <row r="79" spans="1:13" x14ac:dyDescent="0.25">
      <c r="A79" s="297"/>
      <c r="B79" s="32" t="str">
        <f>'_Tabellen und Listen'!A312</f>
        <v>Hochvalyrisch</v>
      </c>
      <c r="C79" s="240"/>
      <c r="D79" s="24"/>
      <c r="E79" s="292"/>
      <c r="F79" s="19">
        <f t="shared" si="15"/>
        <v>0</v>
      </c>
      <c r="G79" s="19">
        <f>IF(D79&gt;0,VLOOKUP(D79,'_Tabellen und Listen'!A$127:B$131,2,TRUE),0)</f>
        <v>0</v>
      </c>
      <c r="I79" s="26" t="str">
        <f t="shared" si="17"/>
        <v/>
      </c>
      <c r="J79" s="148" t="str">
        <f t="shared" si="16"/>
        <v>, Gemeine Zunge 2</v>
      </c>
      <c r="K79" s="148"/>
      <c r="L79" s="148"/>
    </row>
    <row r="80" spans="1:13" x14ac:dyDescent="0.25">
      <c r="A80" s="287" t="s">
        <v>28</v>
      </c>
      <c r="B80" s="5" t="str">
        <f>IF(ISERROR(FIND(A80,'1. Allgemeines'!$B$25)),"","Kernfähigkeit")</f>
        <v/>
      </c>
      <c r="C80" s="25">
        <f>IF(A80=$B$6,1,2)</f>
        <v>2</v>
      </c>
      <c r="D80" s="24"/>
      <c r="E80" s="20" t="str">
        <f>IF(VLOOKUP("Makel "&amp;VLOOKUP(A80,'_Tabellen und Listen'!$B$145:$C$163,2,FALSE),'4. Nachteile'!$A$36:$B$54,2,FALSE)="ja","gesetzt",IF(ISERROR(FIND(A80,B$12)),"","ggf."))</f>
        <v/>
      </c>
      <c r="F80" s="19">
        <f>+D80+C80</f>
        <v>2</v>
      </c>
      <c r="G80" s="19">
        <f>IF(D80&gt;0,VLOOKUP(D80,'_Tabellen und Listen'!A$127:B$131,2,TRUE),0)</f>
        <v>0</v>
      </c>
      <c r="I80" s="4" t="str">
        <f>A80&amp;" "&amp;F80</f>
        <v>Status 2</v>
      </c>
      <c r="K80" s="148">
        <f>IF(L80&lt;&gt;"",1,0)+K63</f>
        <v>0</v>
      </c>
      <c r="L80" s="148" t="str">
        <f>IF(OR(F80&lt;&gt;2,SUM(F81:F84)&gt;0),A80,"")</f>
        <v/>
      </c>
      <c r="M80" s="148" t="str">
        <f>IFERROR(RIGHT(J84,LEN(J84)-2),"")</f>
        <v/>
      </c>
    </row>
    <row r="81" spans="1:13" x14ac:dyDescent="0.25">
      <c r="A81" s="287"/>
      <c r="B81" s="288" t="s">
        <v>217</v>
      </c>
      <c r="C81" s="288"/>
      <c r="D81" s="24"/>
      <c r="E81" s="261" t="str">
        <f>IF(ISERROR(FIND(A80,B$12)),"","Makel")</f>
        <v/>
      </c>
      <c r="F81" s="19">
        <f>+D81</f>
        <v>0</v>
      </c>
      <c r="G81" s="19">
        <f>+F81*10</f>
        <v>0</v>
      </c>
      <c r="I81" s="26" t="str">
        <f>IF(F81&gt;0,B81&amp;" "&amp;F81&amp;"B","")</f>
        <v/>
      </c>
      <c r="J81" s="148" t="str">
        <f>IF(I81&lt;&gt;"",", "&amp;I81,"")</f>
        <v/>
      </c>
    </row>
    <row r="82" spans="1:13" x14ac:dyDescent="0.25">
      <c r="A82" s="287"/>
      <c r="B82" s="288" t="s">
        <v>218</v>
      </c>
      <c r="C82" s="288"/>
      <c r="D82" s="24"/>
      <c r="E82" s="261"/>
      <c r="F82" s="19">
        <f>+D82</f>
        <v>0</v>
      </c>
      <c r="G82" s="19">
        <f>+F82*10</f>
        <v>0</v>
      </c>
      <c r="I82" s="26" t="str">
        <f>IF(F82&gt;0,B82&amp;" "&amp;F82&amp;"B","")</f>
        <v/>
      </c>
      <c r="J82" s="148" t="str">
        <f>IF(I82&lt;&gt;"",J81&amp;", "&amp;I82,J81)</f>
        <v/>
      </c>
    </row>
    <row r="83" spans="1:13" x14ac:dyDescent="0.25">
      <c r="A83" s="287"/>
      <c r="B83" s="288" t="s">
        <v>219</v>
      </c>
      <c r="C83" s="288"/>
      <c r="D83" s="24"/>
      <c r="E83" s="261"/>
      <c r="F83" s="19">
        <f>+D83</f>
        <v>0</v>
      </c>
      <c r="G83" s="19">
        <f>+F83*10</f>
        <v>0</v>
      </c>
      <c r="I83" s="26" t="str">
        <f>IF(F83&gt;0,B83&amp;" "&amp;F83&amp;"B","")</f>
        <v/>
      </c>
      <c r="J83" s="148" t="str">
        <f t="shared" ref="J83:J84" si="18">IF(I83&lt;&gt;"",J82&amp;", "&amp;I83,J82)</f>
        <v/>
      </c>
    </row>
    <row r="84" spans="1:13" x14ac:dyDescent="0.25">
      <c r="A84" s="287"/>
      <c r="B84" s="288" t="s">
        <v>220</v>
      </c>
      <c r="C84" s="288"/>
      <c r="D84" s="24"/>
      <c r="E84" s="261"/>
      <c r="F84" s="19">
        <f>+D84</f>
        <v>0</v>
      </c>
      <c r="G84" s="19">
        <f>+F84*10</f>
        <v>0</v>
      </c>
      <c r="I84" s="26" t="str">
        <f>IF(F84&gt;0,B84&amp;" "&amp;F84&amp;"B","")</f>
        <v/>
      </c>
      <c r="J84" s="148" t="str">
        <f t="shared" si="18"/>
        <v/>
      </c>
    </row>
    <row r="85" spans="1:13" x14ac:dyDescent="0.25">
      <c r="A85" s="287" t="s">
        <v>173</v>
      </c>
      <c r="B85" s="5" t="str">
        <f>IF(ISERROR(FIND(A85,'1. Allgemeines'!$B$25)),"","Kernfähigkeit")</f>
        <v/>
      </c>
      <c r="C85" s="25">
        <f>IF(A85=$B$6,1,2)</f>
        <v>2</v>
      </c>
      <c r="D85" s="24"/>
      <c r="E85" s="20" t="str">
        <f>IF(VLOOKUP("Makel "&amp;VLOOKUP(A85,'_Tabellen und Listen'!$B$145:$C$163,2,FALSE),'4. Nachteile'!$A$36:$B$54,2,FALSE)="ja","gesetzt",IF(ISERROR(FIND(A85,B$12)),"","ggf."))</f>
        <v/>
      </c>
      <c r="F85" s="19">
        <f>+D85+C85</f>
        <v>2</v>
      </c>
      <c r="G85" s="19">
        <f>IF(D85&gt;0,VLOOKUP(D85,'_Tabellen und Listen'!A$127:B$131,2,TRUE),0)</f>
        <v>0</v>
      </c>
      <c r="I85" s="4" t="str">
        <f>A85&amp;" "&amp;F85</f>
        <v>Täuschung 2</v>
      </c>
      <c r="K85" s="148">
        <f>IF(L85&lt;&gt;"",1,0)+K80</f>
        <v>0</v>
      </c>
      <c r="L85" s="148" t="str">
        <f>IF(OR(F85&lt;&gt;2,SUM(F86:F89)&gt;0),A85,"")</f>
        <v/>
      </c>
      <c r="M85" s="148" t="str">
        <f>IFERROR(RIGHT(J89,LEN(J89)-2),"")</f>
        <v/>
      </c>
    </row>
    <row r="86" spans="1:13" x14ac:dyDescent="0.25">
      <c r="A86" s="287"/>
      <c r="B86" s="288" t="s">
        <v>221</v>
      </c>
      <c r="C86" s="288"/>
      <c r="D86" s="24"/>
      <c r="E86" s="261" t="str">
        <f>IF(ISERROR(FIND(A85,B$12)),"","Makel")</f>
        <v/>
      </c>
      <c r="F86" s="19">
        <f>+D86</f>
        <v>0</v>
      </c>
      <c r="G86" s="19">
        <f>+F86*10</f>
        <v>0</v>
      </c>
      <c r="I86" s="26" t="str">
        <f>IF(F86&gt;0,B86&amp;" "&amp;F86&amp;"B","")</f>
        <v/>
      </c>
      <c r="J86" s="148" t="str">
        <f>IF(I86&lt;&gt;"",", "&amp;I86,"")</f>
        <v/>
      </c>
    </row>
    <row r="87" spans="1:13" x14ac:dyDescent="0.25">
      <c r="A87" s="287"/>
      <c r="B87" s="288" t="s">
        <v>222</v>
      </c>
      <c r="C87" s="288"/>
      <c r="D87" s="24"/>
      <c r="E87" s="261"/>
      <c r="F87" s="19">
        <f>+D87</f>
        <v>0</v>
      </c>
      <c r="G87" s="19">
        <f>+F87*10</f>
        <v>0</v>
      </c>
      <c r="I87" s="26" t="str">
        <f>IF(F87&gt;0,B87&amp;" "&amp;F87&amp;"B","")</f>
        <v/>
      </c>
      <c r="J87" s="148" t="str">
        <f>IF(I87&lt;&gt;"",J86&amp;", "&amp;I87,J86)</f>
        <v/>
      </c>
    </row>
    <row r="88" spans="1:13" x14ac:dyDescent="0.25">
      <c r="A88" s="287"/>
      <c r="B88" s="288" t="s">
        <v>223</v>
      </c>
      <c r="C88" s="288"/>
      <c r="D88" s="24"/>
      <c r="E88" s="261"/>
      <c r="F88" s="19">
        <f>+D88</f>
        <v>0</v>
      </c>
      <c r="G88" s="19">
        <f>+F88*10</f>
        <v>0</v>
      </c>
      <c r="I88" s="26" t="str">
        <f>IF(F88&gt;0,B88&amp;" "&amp;F88&amp;"B","")</f>
        <v/>
      </c>
      <c r="J88" s="148" t="str">
        <f t="shared" ref="J88:J89" si="19">IF(I88&lt;&gt;"",J87&amp;", "&amp;I88,J87)</f>
        <v/>
      </c>
    </row>
    <row r="89" spans="1:13" x14ac:dyDescent="0.25">
      <c r="A89" s="287"/>
      <c r="B89" s="288" t="s">
        <v>224</v>
      </c>
      <c r="C89" s="288"/>
      <c r="D89" s="24"/>
      <c r="E89" s="261"/>
      <c r="F89" s="19">
        <f>+D89</f>
        <v>0</v>
      </c>
      <c r="G89" s="19">
        <f>+F89*10</f>
        <v>0</v>
      </c>
      <c r="I89" s="26" t="str">
        <f>IF(F89&gt;0,B89&amp;" "&amp;F89&amp;"B","")</f>
        <v/>
      </c>
      <c r="J89" s="148" t="str">
        <f t="shared" si="19"/>
        <v/>
      </c>
    </row>
    <row r="90" spans="1:13" x14ac:dyDescent="0.25">
      <c r="A90" s="287" t="s">
        <v>174</v>
      </c>
      <c r="B90" s="5" t="str">
        <f>IF(ISERROR(FIND(A90,'1. Allgemeines'!$B$25)),"","Kernfähigkeit")</f>
        <v/>
      </c>
      <c r="C90" s="25">
        <f>IF(A90=$B$6,1,2)</f>
        <v>2</v>
      </c>
      <c r="D90" s="24"/>
      <c r="E90" s="20" t="str">
        <f>IF(VLOOKUP("Makel "&amp;VLOOKUP(A90,'_Tabellen und Listen'!$B$145:$C$163,2,FALSE),'4. Nachteile'!$A$36:$B$54,2,FALSE)="ja","gesetzt",IF(ISERROR(FIND(A90,B$12)),"","ggf."))</f>
        <v/>
      </c>
      <c r="F90" s="19">
        <f>+D90+C90</f>
        <v>2</v>
      </c>
      <c r="G90" s="19">
        <f>IF(D90&gt;0,VLOOKUP(D90,'_Tabellen und Listen'!A$127:B$131,2,TRUE),0)</f>
        <v>0</v>
      </c>
      <c r="I90" s="4" t="str">
        <f>A90&amp;" "&amp;F90</f>
        <v>Überleben 2</v>
      </c>
      <c r="K90" s="148">
        <f>IF(L90&lt;&gt;"",1,0)+K85</f>
        <v>0</v>
      </c>
      <c r="L90" s="148" t="str">
        <f>IF(OR(F90&lt;&gt;2,SUM(F91:F94)&gt;0),A90,"")</f>
        <v/>
      </c>
      <c r="M90" s="148" t="str">
        <f>IFERROR(RIGHT(J94,LEN(J94)-2),"")</f>
        <v/>
      </c>
    </row>
    <row r="91" spans="1:13" x14ac:dyDescent="0.25">
      <c r="A91" s="287"/>
      <c r="B91" s="288" t="s">
        <v>225</v>
      </c>
      <c r="C91" s="288"/>
      <c r="D91" s="24"/>
      <c r="E91" s="261" t="str">
        <f>IF(ISERROR(FIND(A90,B$12)),"","Makel")</f>
        <v/>
      </c>
      <c r="F91" s="19">
        <f>+D91</f>
        <v>0</v>
      </c>
      <c r="G91" s="19">
        <f>+F91*10</f>
        <v>0</v>
      </c>
      <c r="I91" s="26" t="str">
        <f>IF(F91&gt;0,B91&amp;" "&amp;F91&amp;"B","")</f>
        <v/>
      </c>
      <c r="J91" s="148" t="str">
        <f>IF(I91&lt;&gt;"",", "&amp;I91,"")</f>
        <v/>
      </c>
    </row>
    <row r="92" spans="1:13" x14ac:dyDescent="0.25">
      <c r="A92" s="287"/>
      <c r="B92" s="288" t="s">
        <v>226</v>
      </c>
      <c r="C92" s="288"/>
      <c r="D92" s="24"/>
      <c r="E92" s="261"/>
      <c r="F92" s="19">
        <f>+D92</f>
        <v>0</v>
      </c>
      <c r="G92" s="19">
        <f>+F92*10</f>
        <v>0</v>
      </c>
      <c r="I92" s="26" t="str">
        <f>IF(F92&gt;0,B92&amp;" "&amp;F92&amp;"B","")</f>
        <v/>
      </c>
      <c r="J92" s="148" t="str">
        <f>IF(I92&lt;&gt;"",J91&amp;", "&amp;I92,J91)</f>
        <v/>
      </c>
    </row>
    <row r="93" spans="1:13" x14ac:dyDescent="0.25">
      <c r="A93" s="287"/>
      <c r="B93" s="288" t="s">
        <v>227</v>
      </c>
      <c r="C93" s="288"/>
      <c r="D93" s="24"/>
      <c r="E93" s="261"/>
      <c r="F93" s="19">
        <f>+D93</f>
        <v>0</v>
      </c>
      <c r="G93" s="19">
        <f>+F93*10</f>
        <v>0</v>
      </c>
      <c r="I93" s="26" t="str">
        <f>IF(F93&gt;0,B93&amp;" "&amp;F93&amp;"B","")</f>
        <v/>
      </c>
      <c r="J93" s="148" t="str">
        <f t="shared" ref="J93:J94" si="20">IF(I93&lt;&gt;"",J92&amp;", "&amp;I93,J92)</f>
        <v/>
      </c>
    </row>
    <row r="94" spans="1:13" x14ac:dyDescent="0.25">
      <c r="A94" s="287"/>
      <c r="B94" s="288" t="s">
        <v>228</v>
      </c>
      <c r="C94" s="288"/>
      <c r="D94" s="24"/>
      <c r="E94" s="261"/>
      <c r="F94" s="19">
        <f>+D94</f>
        <v>0</v>
      </c>
      <c r="G94" s="19">
        <f>+F94*10</f>
        <v>0</v>
      </c>
      <c r="I94" s="26" t="str">
        <f>IF(F94&gt;0,B94&amp;" "&amp;F94&amp;"B","")</f>
        <v/>
      </c>
      <c r="J94" s="148" t="str">
        <f t="shared" si="20"/>
        <v/>
      </c>
    </row>
    <row r="95" spans="1:13" x14ac:dyDescent="0.25">
      <c r="A95" s="287" t="s">
        <v>175</v>
      </c>
      <c r="B95" s="5" t="str">
        <f>IF(ISERROR(FIND(A95,'1. Allgemeines'!$B$25)),"","Kernfähigkeit")</f>
        <v/>
      </c>
      <c r="C95" s="25">
        <f>IF(A95=$B$6,1,2)</f>
        <v>2</v>
      </c>
      <c r="D95" s="24"/>
      <c r="E95" s="20" t="str">
        <f>IF(VLOOKUP("Makel "&amp;VLOOKUP(A95,'_Tabellen und Listen'!$B$145:$C$163,2,FALSE),'4. Nachteile'!$A$36:$B$54,2,FALSE)="ja","gesetzt",IF(ISERROR(FIND(A95,B$12)),"","ggf."))</f>
        <v/>
      </c>
      <c r="F95" s="19">
        <f>+D95+C95</f>
        <v>2</v>
      </c>
      <c r="G95" s="19">
        <f>IF(D95&gt;0,VLOOKUP(D95,'_Tabellen und Listen'!A$127:B$131,2,TRUE),0)</f>
        <v>0</v>
      </c>
      <c r="I95" s="4" t="str">
        <f>A95&amp;" "&amp;F95</f>
        <v>Überredung 2</v>
      </c>
      <c r="K95" s="148">
        <f>IF(L95&lt;&gt;"",1,0)+K90</f>
        <v>0</v>
      </c>
      <c r="L95" s="148" t="str">
        <f>IF(OR(F95&lt;&gt;2,SUM(F96:F102)&gt;0),A95,"")</f>
        <v/>
      </c>
      <c r="M95" s="148" t="str">
        <f>IFERROR(RIGHT(J102,LEN(J102)-2),"")</f>
        <v/>
      </c>
    </row>
    <row r="96" spans="1:13" x14ac:dyDescent="0.25">
      <c r="A96" s="287"/>
      <c r="B96" s="288" t="s">
        <v>229</v>
      </c>
      <c r="C96" s="288"/>
      <c r="D96" s="24"/>
      <c r="E96" s="261" t="str">
        <f>IF(ISERROR(FIND(A95,B$12)),"","Makel")</f>
        <v/>
      </c>
      <c r="F96" s="19">
        <f t="shared" ref="F96:F102" si="21">+D96</f>
        <v>0</v>
      </c>
      <c r="G96" s="19">
        <f t="shared" ref="G96:G102" si="22">+F96*10</f>
        <v>0</v>
      </c>
      <c r="I96" s="26" t="str">
        <f t="shared" ref="I96:I102" si="23">IF(F96&gt;0,B96&amp;" "&amp;F96&amp;"B","")</f>
        <v/>
      </c>
      <c r="J96" s="148" t="str">
        <f>IF(I96&lt;&gt;"",", "&amp;I96,"")</f>
        <v/>
      </c>
    </row>
    <row r="97" spans="1:13" x14ac:dyDescent="0.25">
      <c r="A97" s="287"/>
      <c r="B97" s="288" t="s">
        <v>230</v>
      </c>
      <c r="C97" s="288"/>
      <c r="D97" s="24"/>
      <c r="E97" s="261"/>
      <c r="F97" s="19">
        <f t="shared" si="21"/>
        <v>0</v>
      </c>
      <c r="G97" s="19">
        <f t="shared" si="22"/>
        <v>0</v>
      </c>
      <c r="I97" s="26" t="str">
        <f t="shared" si="23"/>
        <v/>
      </c>
      <c r="J97" s="148" t="str">
        <f>IF(I97&lt;&gt;"",J96&amp;", "&amp;I97,J96)</f>
        <v/>
      </c>
    </row>
    <row r="98" spans="1:13" x14ac:dyDescent="0.25">
      <c r="A98" s="287"/>
      <c r="B98" s="288" t="s">
        <v>231</v>
      </c>
      <c r="C98" s="288"/>
      <c r="D98" s="24"/>
      <c r="E98" s="261"/>
      <c r="F98" s="19">
        <f t="shared" si="21"/>
        <v>0</v>
      </c>
      <c r="G98" s="19">
        <f t="shared" si="22"/>
        <v>0</v>
      </c>
      <c r="I98" s="26" t="str">
        <f t="shared" si="23"/>
        <v/>
      </c>
      <c r="J98" s="148" t="str">
        <f t="shared" ref="J98:J102" si="24">IF(I98&lt;&gt;"",J97&amp;", "&amp;I98,J97)</f>
        <v/>
      </c>
    </row>
    <row r="99" spans="1:13" x14ac:dyDescent="0.25">
      <c r="A99" s="287"/>
      <c r="B99" s="288" t="s">
        <v>232</v>
      </c>
      <c r="C99" s="288"/>
      <c r="D99" s="24"/>
      <c r="E99" s="261"/>
      <c r="F99" s="19">
        <f t="shared" si="21"/>
        <v>0</v>
      </c>
      <c r="G99" s="19">
        <f t="shared" si="22"/>
        <v>0</v>
      </c>
      <c r="I99" s="26" t="str">
        <f t="shared" si="23"/>
        <v/>
      </c>
      <c r="J99" s="148" t="str">
        <f t="shared" si="24"/>
        <v/>
      </c>
    </row>
    <row r="100" spans="1:13" x14ac:dyDescent="0.25">
      <c r="A100" s="287"/>
      <c r="B100" s="288" t="s">
        <v>233</v>
      </c>
      <c r="C100" s="288"/>
      <c r="D100" s="24"/>
      <c r="E100" s="261"/>
      <c r="F100" s="19">
        <f t="shared" si="21"/>
        <v>0</v>
      </c>
      <c r="G100" s="19">
        <f t="shared" si="22"/>
        <v>0</v>
      </c>
      <c r="I100" s="26" t="str">
        <f t="shared" si="23"/>
        <v/>
      </c>
      <c r="J100" s="148" t="str">
        <f t="shared" si="24"/>
        <v/>
      </c>
    </row>
    <row r="101" spans="1:13" x14ac:dyDescent="0.25">
      <c r="A101" s="287"/>
      <c r="B101" s="288" t="s">
        <v>234</v>
      </c>
      <c r="C101" s="288"/>
      <c r="D101" s="24"/>
      <c r="E101" s="261"/>
      <c r="F101" s="19">
        <f t="shared" si="21"/>
        <v>0</v>
      </c>
      <c r="G101" s="19">
        <f t="shared" si="22"/>
        <v>0</v>
      </c>
      <c r="I101" s="26" t="str">
        <f t="shared" si="23"/>
        <v/>
      </c>
      <c r="J101" s="148" t="str">
        <f t="shared" si="24"/>
        <v/>
      </c>
    </row>
    <row r="102" spans="1:13" x14ac:dyDescent="0.25">
      <c r="A102" s="287"/>
      <c r="B102" s="288" t="s">
        <v>235</v>
      </c>
      <c r="C102" s="288"/>
      <c r="D102" s="24"/>
      <c r="E102" s="261"/>
      <c r="F102" s="19">
        <f t="shared" si="21"/>
        <v>0</v>
      </c>
      <c r="G102" s="19">
        <f t="shared" si="22"/>
        <v>0</v>
      </c>
      <c r="I102" s="26" t="str">
        <f t="shared" si="23"/>
        <v/>
      </c>
      <c r="J102" s="148" t="str">
        <f t="shared" si="24"/>
        <v/>
      </c>
    </row>
    <row r="103" spans="1:13" x14ac:dyDescent="0.25">
      <c r="A103" s="287" t="s">
        <v>176</v>
      </c>
      <c r="B103" s="5" t="str">
        <f>IF(ISERROR(FIND(A103,'1. Allgemeines'!$B$25)),"","Kernfähigkeit")</f>
        <v/>
      </c>
      <c r="C103" s="25">
        <f>IF(A103=$B$6,1,2)</f>
        <v>2</v>
      </c>
      <c r="D103" s="24"/>
      <c r="E103" s="20" t="str">
        <f>IF(VLOOKUP("Makel "&amp;VLOOKUP(A103,'_Tabellen und Listen'!$B$145:$C$163,2,FALSE),'4. Nachteile'!$A$36:$B$54,2,FALSE)="ja","gesetzt",IF(ISERROR(FIND(A103,B$12)),"","ggf."))</f>
        <v/>
      </c>
      <c r="F103" s="19">
        <f>+D103+C103</f>
        <v>2</v>
      </c>
      <c r="G103" s="19">
        <f>IF(D103&gt;0,VLOOKUP(D103,'_Tabellen und Listen'!A$127:B$131,2,TRUE),0)</f>
        <v>0</v>
      </c>
      <c r="I103" s="4" t="str">
        <f>A103&amp;" "&amp;F103</f>
        <v>Umgang mit Tieren 2</v>
      </c>
      <c r="K103" s="148">
        <f>IF(L103&lt;&gt;"",1,0)+K95</f>
        <v>0</v>
      </c>
      <c r="L103" s="148" t="str">
        <f>IF(OR(F103&lt;&gt;2,SUM(F104:F107)&gt;0),A103,"")</f>
        <v/>
      </c>
      <c r="M103" s="148" t="str">
        <f>IFERROR(RIGHT(J107,LEN(J107)-2),"")</f>
        <v/>
      </c>
    </row>
    <row r="104" spans="1:13" x14ac:dyDescent="0.25">
      <c r="A104" s="287"/>
      <c r="B104" s="288" t="s">
        <v>236</v>
      </c>
      <c r="C104" s="288"/>
      <c r="D104" s="24"/>
      <c r="E104" s="261" t="str">
        <f>IF(ISERROR(FIND(A103,B$12)),"","Makel")</f>
        <v/>
      </c>
      <c r="F104" s="19">
        <f>+D104</f>
        <v>0</v>
      </c>
      <c r="G104" s="19">
        <f>+F104*10</f>
        <v>0</v>
      </c>
      <c r="I104" s="26" t="str">
        <f>IF(F104&gt;0,B104&amp;" "&amp;F104&amp;"B","")</f>
        <v/>
      </c>
      <c r="J104" s="148" t="str">
        <f>IF(I104&lt;&gt;"",", "&amp;I104,"")</f>
        <v/>
      </c>
    </row>
    <row r="105" spans="1:13" x14ac:dyDescent="0.25">
      <c r="A105" s="287"/>
      <c r="B105" s="288" t="s">
        <v>237</v>
      </c>
      <c r="C105" s="288"/>
      <c r="D105" s="24"/>
      <c r="E105" s="261"/>
      <c r="F105" s="19">
        <f>+D105</f>
        <v>0</v>
      </c>
      <c r="G105" s="19">
        <f>+F105*10</f>
        <v>0</v>
      </c>
      <c r="I105" s="26" t="str">
        <f>IF(F105&gt;0,B105&amp;" "&amp;F105&amp;"B","")</f>
        <v/>
      </c>
      <c r="J105" s="148" t="str">
        <f>IF(I105&lt;&gt;"",J104&amp;", "&amp;I105,J104)</f>
        <v/>
      </c>
    </row>
    <row r="106" spans="1:13" x14ac:dyDescent="0.25">
      <c r="A106" s="287"/>
      <c r="B106" s="288" t="s">
        <v>238</v>
      </c>
      <c r="C106" s="288"/>
      <c r="D106" s="24"/>
      <c r="E106" s="261"/>
      <c r="F106" s="19">
        <f>+D106</f>
        <v>0</v>
      </c>
      <c r="G106" s="19">
        <f>+F106*10</f>
        <v>0</v>
      </c>
      <c r="I106" s="26" t="str">
        <f>IF(F106&gt;0,B106&amp;" "&amp;F106&amp;"B","")</f>
        <v/>
      </c>
      <c r="J106" s="148" t="str">
        <f t="shared" ref="J106:J107" si="25">IF(I106&lt;&gt;"",J105&amp;", "&amp;I106,J105)</f>
        <v/>
      </c>
    </row>
    <row r="107" spans="1:13" x14ac:dyDescent="0.25">
      <c r="A107" s="287"/>
      <c r="B107" s="288" t="s">
        <v>239</v>
      </c>
      <c r="C107" s="288"/>
      <c r="D107" s="24"/>
      <c r="E107" s="261"/>
      <c r="F107" s="19">
        <f>+D107</f>
        <v>0</v>
      </c>
      <c r="G107" s="19">
        <f>+F107*10</f>
        <v>0</v>
      </c>
      <c r="I107" s="26" t="str">
        <f>IF(F107&gt;0,B107&amp;" "&amp;F107&amp;"B","")</f>
        <v/>
      </c>
      <c r="J107" s="148" t="str">
        <f t="shared" si="25"/>
        <v/>
      </c>
    </row>
    <row r="108" spans="1:13" x14ac:dyDescent="0.25">
      <c r="A108" s="287" t="s">
        <v>29</v>
      </c>
      <c r="B108" s="5" t="str">
        <f>IF(ISERROR(FIND(A108,'1. Allgemeines'!$B$25)),"","Kernfähigkeit")</f>
        <v/>
      </c>
      <c r="C108" s="25">
        <f>IF(A108=$B$6,1,2)</f>
        <v>2</v>
      </c>
      <c r="D108" s="24"/>
      <c r="E108" s="20" t="str">
        <f>IF(VLOOKUP("Makel "&amp;VLOOKUP(A108,'_Tabellen und Listen'!$B$145:$C$163,2,FALSE),'4. Nachteile'!$A$36:$B$54,2,FALSE)="ja","gesetzt",IF(ISERROR(FIND(A108,B$12)),"","ggf."))</f>
        <v/>
      </c>
      <c r="F108" s="19">
        <f>+D108+C108</f>
        <v>2</v>
      </c>
      <c r="G108" s="19">
        <f>IF(D108&gt;0,VLOOKUP(D108,'_Tabellen und Listen'!A$127:B$131,2,TRUE),0)</f>
        <v>0</v>
      </c>
      <c r="I108" s="4" t="str">
        <f>A108&amp;" "&amp;F108</f>
        <v>Verstohlenheit 2</v>
      </c>
      <c r="K108" s="148">
        <f>IF(L108&lt;&gt;"",1,0)+K103</f>
        <v>0</v>
      </c>
      <c r="L108" s="148" t="str">
        <f>IF(OR(F108&lt;&gt;2,SUM(F109:F110)&gt;0),A108,"")</f>
        <v/>
      </c>
      <c r="M108" s="148" t="str">
        <f>IFERROR(RIGHT(J110,LEN(J110)-2),"")</f>
        <v/>
      </c>
    </row>
    <row r="109" spans="1:13" x14ac:dyDescent="0.25">
      <c r="A109" s="287"/>
      <c r="B109" s="288" t="s">
        <v>240</v>
      </c>
      <c r="C109" s="288"/>
      <c r="D109" s="24"/>
      <c r="E109" s="261" t="str">
        <f>IF(ISERROR(FIND(A108,B$12)),"","Makel")</f>
        <v/>
      </c>
      <c r="F109" s="19">
        <f>+D109</f>
        <v>0</v>
      </c>
      <c r="G109" s="19">
        <f>+F109*10</f>
        <v>0</v>
      </c>
      <c r="I109" s="26" t="str">
        <f>IF(F109&gt;0,B109&amp;" "&amp;F109&amp;"B","")</f>
        <v/>
      </c>
      <c r="J109" s="148" t="str">
        <f>IF(I109&lt;&gt;"",", "&amp;I109,"")</f>
        <v/>
      </c>
    </row>
    <row r="110" spans="1:13" x14ac:dyDescent="0.25">
      <c r="A110" s="287"/>
      <c r="B110" s="288" t="s">
        <v>241</v>
      </c>
      <c r="C110" s="288"/>
      <c r="D110" s="24"/>
      <c r="E110" s="261"/>
      <c r="F110" s="19">
        <f>+D110</f>
        <v>0</v>
      </c>
      <c r="G110" s="19">
        <f>+F110*10</f>
        <v>0</v>
      </c>
      <c r="I110" s="26" t="str">
        <f>IF(F110&gt;0,B110&amp;" "&amp;F110&amp;"B","")</f>
        <v/>
      </c>
      <c r="J110" s="148" t="str">
        <f>IF(I110&lt;&gt;"",J109&amp;", "&amp;I110,J109)</f>
        <v/>
      </c>
    </row>
    <row r="111" spans="1:13" x14ac:dyDescent="0.25">
      <c r="A111" s="287" t="s">
        <v>177</v>
      </c>
      <c r="B111" s="5" t="str">
        <f>IF(ISERROR(FIND(A111,'1. Allgemeines'!$B$25)),"","Kernfähigkeit")</f>
        <v/>
      </c>
      <c r="C111" s="25">
        <f>IF(A111=$B$6,1,2)</f>
        <v>2</v>
      </c>
      <c r="D111" s="24"/>
      <c r="E111" s="20" t="str">
        <f>IF(VLOOKUP("Makel "&amp;VLOOKUP(A111,'_Tabellen und Listen'!$B$145:$C$163,2,FALSE),'4. Nachteile'!$A$36:$B$54,2,FALSE)="ja","gesetzt",IF(ISERROR(FIND(A111,B$12)),"","ggf."))</f>
        <v/>
      </c>
      <c r="F111" s="19">
        <f>+D111+C111</f>
        <v>2</v>
      </c>
      <c r="G111" s="19">
        <f>IF(D111&gt;0,VLOOKUP(D111,'_Tabellen und Listen'!A$127:B$131,2,TRUE),0)</f>
        <v>0</v>
      </c>
      <c r="I111" s="4" t="str">
        <f>A111&amp;" "&amp;F111</f>
        <v>Wahrnehmung 2</v>
      </c>
      <c r="K111" s="148">
        <f>IF(L111&lt;&gt;"",1,0)+K108</f>
        <v>0</v>
      </c>
      <c r="L111" s="148" t="str">
        <f>IF(OR(F111&lt;&gt;2,SUM(F112:F113)&gt;0),A111,"")</f>
        <v/>
      </c>
      <c r="M111" s="148" t="str">
        <f>IFERROR(RIGHT(J113,LEN(J113)-2),"")</f>
        <v/>
      </c>
    </row>
    <row r="112" spans="1:13" x14ac:dyDescent="0.25">
      <c r="A112" s="287"/>
      <c r="B112" s="288" t="s">
        <v>242</v>
      </c>
      <c r="C112" s="288"/>
      <c r="D112" s="24"/>
      <c r="E112" s="261" t="str">
        <f>IF(ISERROR(FIND(A111,B$12)),"","Makel")</f>
        <v/>
      </c>
      <c r="F112" s="19">
        <f>+D112</f>
        <v>0</v>
      </c>
      <c r="G112" s="19">
        <f>+F112*10</f>
        <v>0</v>
      </c>
      <c r="I112" s="26" t="str">
        <f>IF(F112&gt;0,B112&amp;" "&amp;F112&amp;"B","")</f>
        <v/>
      </c>
      <c r="J112" s="148" t="str">
        <f>IF(I112&lt;&gt;"",", "&amp;I112,"")</f>
        <v/>
      </c>
    </row>
    <row r="113" spans="1:13" x14ac:dyDescent="0.25">
      <c r="A113" s="287"/>
      <c r="B113" s="288" t="s">
        <v>243</v>
      </c>
      <c r="C113" s="288"/>
      <c r="D113" s="24"/>
      <c r="E113" s="261"/>
      <c r="F113" s="19">
        <f>+D113</f>
        <v>0</v>
      </c>
      <c r="G113" s="19">
        <f>+F113*10</f>
        <v>0</v>
      </c>
      <c r="I113" s="26" t="str">
        <f>IF(F113&gt;0,B113&amp;" "&amp;F113&amp;"B","")</f>
        <v/>
      </c>
      <c r="J113" s="148" t="str">
        <f>IF(I113&lt;&gt;"",J112&amp;", "&amp;I113,J112)</f>
        <v/>
      </c>
    </row>
    <row r="114" spans="1:13" x14ac:dyDescent="0.25">
      <c r="A114" s="287" t="s">
        <v>178</v>
      </c>
      <c r="B114" s="5" t="str">
        <f>IF(ISERROR(FIND(A114,'1. Allgemeines'!$B$25)),"","Kernfähigkeit")</f>
        <v/>
      </c>
      <c r="C114" s="25">
        <f>IF(A114=$B$6,1,2)</f>
        <v>2</v>
      </c>
      <c r="D114" s="24"/>
      <c r="E114" s="20" t="str">
        <f>IF(VLOOKUP("Makel "&amp;VLOOKUP(A114,'_Tabellen und Listen'!$B$145:$C$163,2,FALSE),'4. Nachteile'!$A$36:$B$54,2,FALSE)="ja","gesetzt",IF(ISERROR(FIND(A114,B$12)),"","ggf."))</f>
        <v/>
      </c>
      <c r="F114" s="19">
        <f>+D114+C114</f>
        <v>2</v>
      </c>
      <c r="G114" s="19">
        <f>IF(D114&gt;0,VLOOKUP(D114,'_Tabellen und Listen'!A$127:B$131,2,TRUE),0)</f>
        <v>0</v>
      </c>
      <c r="I114" s="4" t="str">
        <f>A114&amp;" "&amp;F114</f>
        <v>Wille 2</v>
      </c>
      <c r="K114" s="148">
        <f>IF(L114&lt;&gt;"",1,0)+K111</f>
        <v>0</v>
      </c>
      <c r="L114" s="148" t="str">
        <f>IF(OR(F114&lt;&gt;2,SUM(F115:F117)&gt;0),A114,"")</f>
        <v/>
      </c>
      <c r="M114" s="148" t="str">
        <f>IFERROR(RIGHT(J117,LEN(J117)-2),"")</f>
        <v/>
      </c>
    </row>
    <row r="115" spans="1:13" x14ac:dyDescent="0.25">
      <c r="A115" s="287"/>
      <c r="B115" s="288" t="s">
        <v>244</v>
      </c>
      <c r="C115" s="288"/>
      <c r="D115" s="24"/>
      <c r="E115" s="261" t="str">
        <f>IF(ISERROR(FIND(A114,B$12)),"","Makel")</f>
        <v/>
      </c>
      <c r="F115" s="19">
        <f>+D115</f>
        <v>0</v>
      </c>
      <c r="G115" s="19">
        <f>+F115*10</f>
        <v>0</v>
      </c>
      <c r="I115" s="26" t="str">
        <f>IF(F115&gt;0,B115&amp;" "&amp;F115&amp;"B","")</f>
        <v/>
      </c>
      <c r="J115" s="148" t="str">
        <f>IF(I115&lt;&gt;"",", "&amp;I115,"")</f>
        <v/>
      </c>
    </row>
    <row r="116" spans="1:13" x14ac:dyDescent="0.25">
      <c r="A116" s="287"/>
      <c r="B116" s="288" t="s">
        <v>245</v>
      </c>
      <c r="C116" s="288"/>
      <c r="D116" s="24"/>
      <c r="E116" s="261"/>
      <c r="F116" s="19">
        <f>+D116</f>
        <v>0</v>
      </c>
      <c r="G116" s="19">
        <f>+F116*10</f>
        <v>0</v>
      </c>
      <c r="I116" s="26" t="str">
        <f>IF(F116&gt;0,B116&amp;" "&amp;F116&amp;"B","")</f>
        <v/>
      </c>
      <c r="J116" s="148" t="str">
        <f>IF(I116&lt;&gt;"",J115&amp;", "&amp;I116,J115)</f>
        <v/>
      </c>
    </row>
    <row r="117" spans="1:13" x14ac:dyDescent="0.25">
      <c r="A117" s="287"/>
      <c r="B117" s="288" t="s">
        <v>246</v>
      </c>
      <c r="C117" s="288"/>
      <c r="D117" s="24"/>
      <c r="E117" s="261"/>
      <c r="F117" s="19">
        <f>+D117</f>
        <v>0</v>
      </c>
      <c r="G117" s="19">
        <f>+F117*10</f>
        <v>0</v>
      </c>
      <c r="I117" s="26" t="str">
        <f>IF(F117&gt;0,B117&amp;" "&amp;F117&amp;"B","")</f>
        <v/>
      </c>
      <c r="J117" s="148" t="str">
        <f>IF(I117&lt;&gt;"",J116&amp;", "&amp;I117,J116)</f>
        <v/>
      </c>
    </row>
    <row r="118" spans="1:13" x14ac:dyDescent="0.25">
      <c r="A118" s="287" t="s">
        <v>95</v>
      </c>
      <c r="B118" s="5" t="str">
        <f>IF(ISERROR(FIND(A118,'1. Allgemeines'!$B$25)),"","Kernfähigkeit")</f>
        <v/>
      </c>
      <c r="C118" s="25">
        <f>IF(A118=$B$6,1,2)</f>
        <v>2</v>
      </c>
      <c r="D118" s="24"/>
      <c r="E118" s="20" t="str">
        <f>IF(VLOOKUP("Makel "&amp;VLOOKUP(A118,'_Tabellen und Listen'!$B$145:$C$163,2,FALSE),'4. Nachteile'!$A$36:$B$54,2,FALSE)="ja","gesetzt",IF(ISERROR(FIND(A118,B$12)),"","ggf."))</f>
        <v/>
      </c>
      <c r="F118" s="19">
        <f>+D118+C118</f>
        <v>2</v>
      </c>
      <c r="G118" s="19">
        <f>IF(D118&gt;0,VLOOKUP(D118,'_Tabellen und Listen'!A$127:B$131,2,TRUE),0)</f>
        <v>0</v>
      </c>
      <c r="I118" s="4" t="str">
        <f>A118&amp;" "&amp;F118</f>
        <v>Wissen 2</v>
      </c>
      <c r="K118" s="148">
        <f>IF(L118&lt;&gt;"",1,0)+K114</f>
        <v>0</v>
      </c>
      <c r="L118" s="148" t="str">
        <f>IF(OR(F118&lt;&gt;2,SUM(F119:F121)&gt;0),A118,"")</f>
        <v/>
      </c>
      <c r="M118" s="148" t="str">
        <f>IFERROR(RIGHT(J121,LEN(J121)-2),"")</f>
        <v/>
      </c>
    </row>
    <row r="119" spans="1:13" x14ac:dyDescent="0.25">
      <c r="A119" s="287"/>
      <c r="B119" s="288" t="s">
        <v>247</v>
      </c>
      <c r="C119" s="288"/>
      <c r="D119" s="24"/>
      <c r="E119" s="261" t="str">
        <f>IF(ISERROR(FIND(A118,B$12)),"","Makel")</f>
        <v/>
      </c>
      <c r="F119" s="19">
        <f>+D119</f>
        <v>0</v>
      </c>
      <c r="G119" s="19">
        <f>+F119*10</f>
        <v>0</v>
      </c>
      <c r="I119" s="26" t="str">
        <f>IF(F119&gt;0,B119&amp;" "&amp;F119&amp;"B","")</f>
        <v/>
      </c>
      <c r="J119" s="148" t="str">
        <f>IF(I119&lt;&gt;"",", "&amp;I119,"")</f>
        <v/>
      </c>
    </row>
    <row r="120" spans="1:13" x14ac:dyDescent="0.25">
      <c r="A120" s="287"/>
      <c r="B120" s="288" t="s">
        <v>248</v>
      </c>
      <c r="C120" s="288"/>
      <c r="D120" s="24"/>
      <c r="E120" s="261"/>
      <c r="F120" s="19">
        <f>+D120</f>
        <v>0</v>
      </c>
      <c r="G120" s="19">
        <f>+F120*10</f>
        <v>0</v>
      </c>
      <c r="I120" s="26" t="str">
        <f>IF(F120&gt;0,B120&amp;" "&amp;F120&amp;"B","")</f>
        <v/>
      </c>
      <c r="J120" s="148" t="str">
        <f>IF(I120&lt;&gt;"",J119&amp;", "&amp;I120,J119)</f>
        <v/>
      </c>
    </row>
    <row r="121" spans="1:13" x14ac:dyDescent="0.25">
      <c r="A121" s="287"/>
      <c r="B121" s="288" t="s">
        <v>249</v>
      </c>
      <c r="C121" s="288"/>
      <c r="D121" s="24"/>
      <c r="E121" s="261"/>
      <c r="F121" s="19">
        <f>+D121</f>
        <v>0</v>
      </c>
      <c r="G121" s="19">
        <f>+F121*10</f>
        <v>0</v>
      </c>
      <c r="I121" s="26" t="str">
        <f>IF(F121&gt;0,B121&amp;" "&amp;F121&amp;"B","")</f>
        <v/>
      </c>
      <c r="J121" s="148" t="str">
        <f>IF(I121&lt;&gt;"",J120&amp;", "&amp;I121,J120)</f>
        <v/>
      </c>
    </row>
    <row r="123" spans="1:13" x14ac:dyDescent="0.25">
      <c r="A123" s="280" t="s">
        <v>312</v>
      </c>
      <c r="B123" s="280"/>
      <c r="C123" s="284" t="str">
        <f>IF(H9&amp;H10="","","Achtung! Es sind noch Fehler auf dieser Seite!")</f>
        <v>Achtung! Es sind noch Fehler auf dieser Seite!</v>
      </c>
      <c r="D123" s="284"/>
      <c r="E123" s="284"/>
      <c r="F123" s="284"/>
    </row>
    <row r="124" spans="1:13" x14ac:dyDescent="0.25">
      <c r="A124" s="166" t="s">
        <v>602</v>
      </c>
      <c r="B124" s="33" t="s">
        <v>603</v>
      </c>
    </row>
  </sheetData>
  <sheetProtection algorithmName="SHA-512" hashValue="wu6QdAVYlsPjxm3tWhOB/drxvQwA05Xcwfj2ZYlJRPPai3voTFM0iFHSdmDOMurtviOBpXIbgzPgZLlWtwLJdQ==" saltValue="Idp1KYd6/tt5kSO3M8NdGg==" spinCount="100000" sheet="1" objects="1" scenarios="1"/>
  <mergeCells count="107">
    <mergeCell ref="E65:E79"/>
    <mergeCell ref="C13:G13"/>
    <mergeCell ref="A63:A79"/>
    <mergeCell ref="A1:I1"/>
    <mergeCell ref="A3:B3"/>
    <mergeCell ref="C12:G12"/>
    <mergeCell ref="H12:I12"/>
    <mergeCell ref="B60:C60"/>
    <mergeCell ref="B17:C17"/>
    <mergeCell ref="B18:C18"/>
    <mergeCell ref="B19:C19"/>
    <mergeCell ref="B20:C20"/>
    <mergeCell ref="B21:C21"/>
    <mergeCell ref="B22:C22"/>
    <mergeCell ref="B24:C24"/>
    <mergeCell ref="B25:C25"/>
    <mergeCell ref="B27:C27"/>
    <mergeCell ref="B28:C28"/>
    <mergeCell ref="B29:C29"/>
    <mergeCell ref="B31:C31"/>
    <mergeCell ref="B37:C37"/>
    <mergeCell ref="B38:C38"/>
    <mergeCell ref="B39:C39"/>
    <mergeCell ref="B41:C41"/>
    <mergeCell ref="A30:A35"/>
    <mergeCell ref="A36:A39"/>
    <mergeCell ref="B52:C52"/>
    <mergeCell ref="B53:C53"/>
    <mergeCell ref="B55:C55"/>
    <mergeCell ref="B56:C56"/>
    <mergeCell ref="B57:C57"/>
    <mergeCell ref="B61:C61"/>
    <mergeCell ref="B62:C62"/>
    <mergeCell ref="B32:C32"/>
    <mergeCell ref="B33:C33"/>
    <mergeCell ref="B34:C34"/>
    <mergeCell ref="B35:C35"/>
    <mergeCell ref="B59:C59"/>
    <mergeCell ref="B42:C42"/>
    <mergeCell ref="B43:C43"/>
    <mergeCell ref="B44:C44"/>
    <mergeCell ref="B45:C45"/>
    <mergeCell ref="B46:C46"/>
    <mergeCell ref="B47:C47"/>
    <mergeCell ref="B48:C48"/>
    <mergeCell ref="B49:C49"/>
    <mergeCell ref="B51:C51"/>
    <mergeCell ref="B106:C106"/>
    <mergeCell ref="B107:C107"/>
    <mergeCell ref="B87:C87"/>
    <mergeCell ref="B88:C88"/>
    <mergeCell ref="B89:C89"/>
    <mergeCell ref="B91:C91"/>
    <mergeCell ref="B92:C92"/>
    <mergeCell ref="B81:C81"/>
    <mergeCell ref="B82:C82"/>
    <mergeCell ref="B83:C83"/>
    <mergeCell ref="B84:C84"/>
    <mergeCell ref="B86:C86"/>
    <mergeCell ref="B110:C110"/>
    <mergeCell ref="A108:A110"/>
    <mergeCell ref="A111:A113"/>
    <mergeCell ref="A114:A117"/>
    <mergeCell ref="A40:A49"/>
    <mergeCell ref="A50:A53"/>
    <mergeCell ref="A54:A57"/>
    <mergeCell ref="B112:C112"/>
    <mergeCell ref="B113:C113"/>
    <mergeCell ref="B115:C115"/>
    <mergeCell ref="B116:C116"/>
    <mergeCell ref="B117:C117"/>
    <mergeCell ref="B93:C93"/>
    <mergeCell ref="B94:C94"/>
    <mergeCell ref="B109:C109"/>
    <mergeCell ref="B96:C96"/>
    <mergeCell ref="B97:C97"/>
    <mergeCell ref="B98:C98"/>
    <mergeCell ref="B99:C99"/>
    <mergeCell ref="B100:C100"/>
    <mergeCell ref="B101:C101"/>
    <mergeCell ref="B102:C102"/>
    <mergeCell ref="B104:C104"/>
    <mergeCell ref="B105:C105"/>
    <mergeCell ref="A123:B123"/>
    <mergeCell ref="C3:G3"/>
    <mergeCell ref="H3:I3"/>
    <mergeCell ref="H8:I8"/>
    <mergeCell ref="C123:F123"/>
    <mergeCell ref="H9:I9"/>
    <mergeCell ref="H10:I10"/>
    <mergeCell ref="A90:A94"/>
    <mergeCell ref="A95:A102"/>
    <mergeCell ref="A103:A107"/>
    <mergeCell ref="A58:A62"/>
    <mergeCell ref="A80:A84"/>
    <mergeCell ref="A85:A89"/>
    <mergeCell ref="A118:A121"/>
    <mergeCell ref="D8:E8"/>
    <mergeCell ref="D9:E9"/>
    <mergeCell ref="D10:E10"/>
    <mergeCell ref="B119:C119"/>
    <mergeCell ref="B120:C120"/>
    <mergeCell ref="B121:C121"/>
    <mergeCell ref="C6:I7"/>
    <mergeCell ref="A23:A25"/>
    <mergeCell ref="A16:A22"/>
    <mergeCell ref="A26:A29"/>
  </mergeCells>
  <conditionalFormatting sqref="B10">
    <cfRule type="colorScale" priority="28">
      <colorScale>
        <cfvo type="num" val="0"/>
        <cfvo type="formula" val="$B$8"/>
        <color theme="9" tint="0.79998168889431442"/>
        <color theme="9" tint="-0.249977111117893"/>
      </colorScale>
    </cfRule>
  </conditionalFormatting>
  <conditionalFormatting sqref="F10">
    <cfRule type="colorScale" priority="27">
      <colorScale>
        <cfvo type="num" val="0"/>
        <cfvo type="formula" val="$F$8"/>
        <color theme="9" tint="0.79998168889431442"/>
        <color theme="9" tint="-0.249977111117893"/>
      </colorScale>
    </cfRule>
  </conditionalFormatting>
  <conditionalFormatting sqref="F10 B10">
    <cfRule type="expression" dxfId="59" priority="26">
      <formula>B$37&lt;0</formula>
    </cfRule>
  </conditionalFormatting>
  <conditionalFormatting sqref="D17:D22">
    <cfRule type="expression" dxfId="58" priority="29">
      <formula>$F17&gt;$F$16</formula>
    </cfRule>
  </conditionalFormatting>
  <conditionalFormatting sqref="D24:D25">
    <cfRule type="expression" dxfId="57" priority="30">
      <formula>$F24&gt;$F$23</formula>
    </cfRule>
  </conditionalFormatting>
  <conditionalFormatting sqref="D27:D29">
    <cfRule type="expression" dxfId="56" priority="31">
      <formula>$F27&gt;$F$26</formula>
    </cfRule>
  </conditionalFormatting>
  <conditionalFormatting sqref="D31:D35">
    <cfRule type="expression" dxfId="55" priority="32">
      <formula>$F31&gt;$F$30</formula>
    </cfRule>
  </conditionalFormatting>
  <conditionalFormatting sqref="D37:D39">
    <cfRule type="expression" dxfId="54" priority="33">
      <formula>$F37&gt;$F$36</formula>
    </cfRule>
  </conditionalFormatting>
  <conditionalFormatting sqref="D41:D49">
    <cfRule type="expression" dxfId="53" priority="34">
      <formula>$F41&gt;$F$40</formula>
    </cfRule>
  </conditionalFormatting>
  <conditionalFormatting sqref="D51:D53">
    <cfRule type="expression" dxfId="52" priority="35">
      <formula>$F51&gt;$F$50</formula>
    </cfRule>
  </conditionalFormatting>
  <conditionalFormatting sqref="D55:D57">
    <cfRule type="expression" dxfId="51" priority="36">
      <formula>$F55&gt;$F$54</formula>
    </cfRule>
  </conditionalFormatting>
  <conditionalFormatting sqref="D59:D62">
    <cfRule type="expression" dxfId="50" priority="37">
      <formula>$F59&gt;$F$58</formula>
    </cfRule>
  </conditionalFormatting>
  <conditionalFormatting sqref="D81:D84">
    <cfRule type="expression" dxfId="49" priority="38">
      <formula>$F81&gt;$F$80</formula>
    </cfRule>
  </conditionalFormatting>
  <conditionalFormatting sqref="D86:D89">
    <cfRule type="expression" dxfId="48" priority="39">
      <formula>$F86&gt;$F$85</formula>
    </cfRule>
  </conditionalFormatting>
  <conditionalFormatting sqref="D91:D94">
    <cfRule type="expression" dxfId="47" priority="40">
      <formula>$F91&gt;$F$90</formula>
    </cfRule>
  </conditionalFormatting>
  <conditionalFormatting sqref="D96:D102">
    <cfRule type="expression" dxfId="46" priority="41">
      <formula>$F96&gt;$F$95</formula>
    </cfRule>
  </conditionalFormatting>
  <conditionalFormatting sqref="D115:D117">
    <cfRule type="expression" dxfId="45" priority="92">
      <formula>$F115&gt;$F$114</formula>
    </cfRule>
  </conditionalFormatting>
  <conditionalFormatting sqref="D119:D121">
    <cfRule type="expression" dxfId="44" priority="93">
      <formula>$F119&gt;$F$118</formula>
    </cfRule>
  </conditionalFormatting>
  <conditionalFormatting sqref="D104:D107">
    <cfRule type="expression" dxfId="43" priority="130">
      <formula>$F104&gt;$F$103</formula>
    </cfRule>
  </conditionalFormatting>
  <conditionalFormatting sqref="D109:D110">
    <cfRule type="expression" dxfId="42" priority="133">
      <formula>$F109&gt;$F$108</formula>
    </cfRule>
  </conditionalFormatting>
  <conditionalFormatting sqref="D112:D113">
    <cfRule type="expression" dxfId="41" priority="134">
      <formula>$F112&gt;$F$111</formula>
    </cfRule>
  </conditionalFormatting>
  <conditionalFormatting sqref="C64:C79">
    <cfRule type="expression" dxfId="40" priority="4">
      <formula>COUNTIF($C$64:$C$79,"Primärsprache")&lt;&gt;1</formula>
    </cfRule>
  </conditionalFormatting>
  <conditionalFormatting sqref="D64:D79">
    <cfRule type="expression" dxfId="39" priority="2">
      <formula>$F$63&lt;SUM($F$64:$F$79)</formula>
    </cfRule>
  </conditionalFormatting>
  <dataValidations count="2">
    <dataValidation type="list" allowBlank="1" showInputMessage="1" showErrorMessage="1" sqref="C64:C79">
      <formula1>"Primärsprache"</formula1>
    </dataValidation>
    <dataValidation type="list" showInputMessage="1" showErrorMessage="1" sqref="B13">
      <formula1>"Ja,Nein"</formula1>
    </dataValidation>
  </dataValidations>
  <hyperlinks>
    <hyperlink ref="A123" location="'3. Vorteile'!A1" display="Weiter im Blatt Vorteile"/>
    <hyperlink ref="C3:G3" location="Rollenspielbücher!A1" display="Rollenspielbücher!A1"/>
    <hyperlink ref="C123:E123" location="'2. Fähigkeiten Spezialisierung'!H8" display="'2. Fähigkeiten Spezialisierung'!H8"/>
    <hyperlink ref="B124" location="Charakterbogen!A1" display="Charakterbogen"/>
  </hyperlinks>
  <pageMargins left="0.7" right="0.7" top="0.78740157499999996" bottom="0.78740157499999996" header="0.3" footer="0.3"/>
  <legacyDrawing r:id="rId1"/>
  <extLst>
    <ext xmlns:x14="http://schemas.microsoft.com/office/spreadsheetml/2009/9/main" uri="{78C0D931-6437-407d-A8EE-F0AAD7539E65}">
      <x14:conditionalFormattings>
        <x14:conditionalFormatting xmlns:xm="http://schemas.microsoft.com/office/excel/2006/main">
          <x14:cfRule type="expression" priority="1" id="{000A9FEC-0F74-4B84-BB66-AC4C7A1B07CE}">
            <xm:f>AND('1. Allgemeines'!$C$18&lt;4,$B$13="Ja")</xm:f>
            <x14:dxf>
              <font>
                <color rgb="FF9C0006"/>
              </font>
              <fill>
                <patternFill>
                  <bgColor rgb="FFFFC7CE"/>
                </patternFill>
              </fill>
            </x14:dxf>
          </x14:cfRule>
          <xm:sqref>B13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'_Tabellen und Listen'!$B$145:$B$163</xm:f>
          </x14:formula1>
          <xm:sqref>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6"/>
  <sheetViews>
    <sheetView showGridLines="0" showZeros="0" workbookViewId="0">
      <selection activeCell="S11" sqref="S11"/>
    </sheetView>
  </sheetViews>
  <sheetFormatPr baseColWidth="10" defaultRowHeight="15" outlineLevelRow="1" x14ac:dyDescent="0.25"/>
  <cols>
    <col min="1" max="1" width="39.5703125" style="3" bestFit="1" customWidth="1"/>
    <col min="2" max="2" width="23.140625" style="3" bestFit="1" customWidth="1"/>
    <col min="3" max="3" width="12.140625" style="3" bestFit="1" customWidth="1"/>
    <col min="4" max="5" width="11.42578125" style="3"/>
    <col min="6" max="6" width="22.28515625" style="124" bestFit="1" customWidth="1"/>
    <col min="7" max="7" width="3" style="118" bestFit="1" customWidth="1"/>
    <col min="8" max="8" width="5" style="118" bestFit="1" customWidth="1"/>
    <col min="9" max="9" width="21.42578125" style="118" bestFit="1" customWidth="1"/>
    <col min="10" max="10" width="33" style="131" customWidth="1"/>
    <col min="11" max="11" width="13.42578125" style="136" hidden="1" customWidth="1"/>
    <col min="12" max="12" width="19.42578125" style="140" hidden="1" customWidth="1"/>
    <col min="13" max="13" width="44" style="140" hidden="1" customWidth="1"/>
    <col min="14" max="14" width="22.28515625" style="140" hidden="1" customWidth="1"/>
    <col min="15" max="16384" width="11.42578125" style="3"/>
  </cols>
  <sheetData>
    <row r="1" spans="1:14" ht="26.25" x14ac:dyDescent="0.4">
      <c r="A1" s="298" t="str">
        <f>'1. Allgemeines'!A1</f>
        <v>Charaktergenerierung für das Game of Thrones Rollenspiel</v>
      </c>
      <c r="B1" s="298"/>
      <c r="C1" s="298"/>
      <c r="D1" s="298"/>
      <c r="E1" s="298"/>
      <c r="F1" s="298"/>
      <c r="G1" s="298"/>
      <c r="H1" s="298"/>
      <c r="I1" s="298"/>
    </row>
    <row r="3" spans="1:14" x14ac:dyDescent="0.25">
      <c r="A3" s="267" t="s">
        <v>309</v>
      </c>
      <c r="B3" s="267"/>
      <c r="C3" s="268" t="str">
        <f>'2. Fähigkeiten'!C3:G3</f>
        <v>Regelbücher und Abenteuer</v>
      </c>
      <c r="D3" s="268"/>
      <c r="E3" s="268"/>
      <c r="F3" s="268"/>
      <c r="G3" s="268"/>
      <c r="H3" s="345" t="str">
        <f>'1. Allgemeines'!H3</f>
        <v>Version 24.8.17 © Jaegers.Net</v>
      </c>
      <c r="I3" s="345"/>
    </row>
    <row r="4" spans="1:14" ht="15.75" thickBot="1" x14ac:dyDescent="0.3"/>
    <row r="5" spans="1:14" x14ac:dyDescent="0.25">
      <c r="A5" s="12" t="s">
        <v>261</v>
      </c>
      <c r="B5" s="31">
        <f>VLOOKUP('1. Allgemeines'!H18,'_Tabellen und Listen'!B17:F24,5,FALSE)-IF('1. Allgemeines'!H21="ja",1,0)</f>
        <v>3</v>
      </c>
      <c r="D5" s="282" t="str">
        <f>'2. Fähigkeiten'!H8:H8</f>
        <v>Warn- und Fehlermeldungen:</v>
      </c>
      <c r="E5" s="353"/>
      <c r="F5" s="353"/>
      <c r="G5" s="283"/>
    </row>
    <row r="6" spans="1:14" x14ac:dyDescent="0.25">
      <c r="A6" s="12" t="s">
        <v>600</v>
      </c>
      <c r="B6" s="167"/>
      <c r="D6" s="285" t="str">
        <f>IF(B9&lt;0,"Warnung! Zu viele Schicksalspunkte ausgegeben! ","")&amp;IF(B7&gt;VLOOKUP('1. Allgemeines'!H18,'_Tabellen und Listen'!B17:G24,6,FALSE)," Zu viele Vorteile gewählt! ","")</f>
        <v/>
      </c>
      <c r="E6" s="349"/>
      <c r="F6" s="349"/>
      <c r="G6" s="286"/>
    </row>
    <row r="7" spans="1:14" ht="15" customHeight="1" x14ac:dyDescent="0.25">
      <c r="A7" s="12" t="s">
        <v>606</v>
      </c>
      <c r="B7" s="169">
        <f>COUNTA(B14:B258)-COUNTIF(B14:B258,"nein")+SUM(B14:B258)-COUNT(B14:B258)</f>
        <v>0</v>
      </c>
      <c r="D7" s="285"/>
      <c r="E7" s="349"/>
      <c r="F7" s="349"/>
      <c r="G7" s="286"/>
    </row>
    <row r="8" spans="1:14" ht="15" customHeight="1" x14ac:dyDescent="0.25">
      <c r="A8" s="168" t="s">
        <v>607</v>
      </c>
      <c r="B8" s="169">
        <f>'4. Nachteile'!B9</f>
        <v>0</v>
      </c>
      <c r="D8" s="285"/>
      <c r="E8" s="349"/>
      <c r="F8" s="349"/>
      <c r="G8" s="286"/>
    </row>
    <row r="9" spans="1:14" ht="15.75" thickBot="1" x14ac:dyDescent="0.3">
      <c r="A9" s="12" t="s">
        <v>288</v>
      </c>
      <c r="B9" s="170">
        <f>+B5-B7-B6+B8</f>
        <v>3</v>
      </c>
      <c r="D9" s="350"/>
      <c r="E9" s="351"/>
      <c r="F9" s="351"/>
      <c r="G9" s="352"/>
    </row>
    <row r="10" spans="1:14" ht="15.75" thickBot="1" x14ac:dyDescent="0.3"/>
    <row r="11" spans="1:14" ht="60.75" customHeight="1" thickBot="1" x14ac:dyDescent="0.3">
      <c r="A11" s="165" t="s">
        <v>143</v>
      </c>
      <c r="B11" s="305" t="s">
        <v>927</v>
      </c>
      <c r="C11" s="305"/>
      <c r="D11" s="305"/>
      <c r="E11" s="305"/>
      <c r="F11" s="305"/>
      <c r="G11" s="305"/>
      <c r="H11" s="305"/>
      <c r="I11" s="306"/>
    </row>
    <row r="13" spans="1:14" ht="15.75" thickBot="1" x14ac:dyDescent="0.3">
      <c r="A13" s="7" t="s">
        <v>290</v>
      </c>
      <c r="B13" s="9" t="str">
        <f>"max. "&amp;B5&amp;" auswählen"</f>
        <v>max. 3 auswählen</v>
      </c>
      <c r="C13" s="304" t="s">
        <v>599</v>
      </c>
      <c r="D13" s="304"/>
      <c r="F13" s="346" t="s">
        <v>566</v>
      </c>
      <c r="G13" s="346"/>
      <c r="H13" s="144" t="s">
        <v>567</v>
      </c>
      <c r="I13" s="144" t="s">
        <v>580</v>
      </c>
      <c r="L13" s="140" t="s">
        <v>595</v>
      </c>
      <c r="M13" s="140" t="s">
        <v>708</v>
      </c>
      <c r="N13" s="140" t="s">
        <v>596</v>
      </c>
    </row>
    <row r="14" spans="1:14" s="30" customFormat="1" ht="45.75" customHeight="1" x14ac:dyDescent="0.25">
      <c r="A14" s="108" t="s">
        <v>289</v>
      </c>
      <c r="B14" s="210"/>
      <c r="C14" s="344" t="str">
        <f>IFERROR(VLOOKUP(B14,'_Tabellen und Listen'!A166:B173,2,FALSE),"")</f>
        <v/>
      </c>
      <c r="D14" s="344"/>
      <c r="E14" s="109"/>
      <c r="F14" s="129" t="str">
        <f>IF(B14&lt;&gt;"",VLOOKUP(B14,'_Tabellen und Listen'!A166:C173,3,FALSE),"")</f>
        <v/>
      </c>
      <c r="G14" s="110">
        <f>IF(B14&lt;&gt;"",VLOOKUP(B14,'_Tabellen und Listen'!A166:D173,4,FALSE),0)</f>
        <v>0</v>
      </c>
      <c r="H14" s="110">
        <f>IF(F14&lt;&gt;"",IFERROR(VLOOKUP(F14,A$15:D$375,2,FALSE),0),0)</f>
        <v>0</v>
      </c>
      <c r="I14" s="111" t="b">
        <f>G14&lt;=H14</f>
        <v>1</v>
      </c>
      <c r="J14" s="149" t="str">
        <f>IF(B14&lt;&gt;"",", "&amp;B14&amp;" ("&amp;C14&amp;")","")</f>
        <v/>
      </c>
      <c r="K14" s="136"/>
      <c r="L14" s="138" t="str">
        <f>IF(ISBLANK(B14),"",", "&amp;B14)</f>
        <v/>
      </c>
      <c r="M14" s="138" t="str">
        <f>IF(ISBLANK(J14),"",J14)</f>
        <v/>
      </c>
      <c r="N14" s="138"/>
    </row>
    <row r="15" spans="1:14" x14ac:dyDescent="0.25">
      <c r="A15" s="97" t="s">
        <v>291</v>
      </c>
      <c r="B15" s="115"/>
      <c r="C15" s="114"/>
      <c r="D15" s="114"/>
      <c r="E15" s="43"/>
      <c r="F15" s="115"/>
      <c r="G15" s="115"/>
      <c r="H15" s="116"/>
      <c r="I15" s="119"/>
      <c r="J15" s="134"/>
      <c r="L15" s="140" t="str">
        <f>IF(ISBLANK(J15),L14,L14&amp;", "&amp;A15)</f>
        <v/>
      </c>
      <c r="M15" s="140" t="str">
        <f>IF(ISBLANK(J15),M14,M14&amp;", "&amp;J15)</f>
        <v/>
      </c>
    </row>
    <row r="16" spans="1:14" ht="24.95" customHeight="1" outlineLevel="1" x14ac:dyDescent="0.25">
      <c r="A16" s="347" t="s">
        <v>307</v>
      </c>
      <c r="B16" s="330" t="s">
        <v>375</v>
      </c>
      <c r="C16" s="308" t="s">
        <v>308</v>
      </c>
      <c r="D16" s="308"/>
      <c r="E16" s="316"/>
      <c r="F16" s="115" t="s">
        <v>25</v>
      </c>
      <c r="G16" s="116">
        <v>3</v>
      </c>
      <c r="H16" s="112">
        <f>IF(F16&lt;&gt;"",VLOOKUP(F16,A$15:D$375,2,FALSE),0)</f>
        <v>2</v>
      </c>
      <c r="I16" s="320" t="b">
        <f>AND(G16&lt;=H16,G17&lt;=H17)</f>
        <v>0</v>
      </c>
      <c r="J16" s="301" t="str">
        <f>IF(B16="ja",A16&amp;" ("&amp;C16&amp;")","")</f>
        <v/>
      </c>
      <c r="L16" s="140" t="str">
        <f>IF(J16="",L15,L15&amp;", "&amp;A16)</f>
        <v/>
      </c>
      <c r="M16" s="140" t="str">
        <f>IF(J16="",M15,M15&amp;", "&amp;J16)</f>
        <v/>
      </c>
    </row>
    <row r="17" spans="1:14" ht="24.95" customHeight="1" outlineLevel="1" x14ac:dyDescent="0.25">
      <c r="A17" s="341"/>
      <c r="B17" s="330"/>
      <c r="C17" s="308"/>
      <c r="D17" s="308"/>
      <c r="E17" s="316"/>
      <c r="F17" s="115" t="s">
        <v>187</v>
      </c>
      <c r="G17" s="116">
        <v>1</v>
      </c>
      <c r="H17" s="112">
        <f>IF(F17&lt;&gt;"",VLOOKUP(F17,A$15:D$375,2,FALSE),0)</f>
        <v>0</v>
      </c>
      <c r="I17" s="321"/>
      <c r="J17" s="302"/>
      <c r="L17" s="140" t="str">
        <f t="shared" ref="L17:L82" si="0">IF(J17="",L16,L16&amp;", "&amp;A17)</f>
        <v/>
      </c>
      <c r="M17" s="140" t="str">
        <f>IF(J17="",M16,M16&amp;", "&amp;J17)</f>
        <v/>
      </c>
    </row>
    <row r="18" spans="1:14" ht="15" customHeight="1" outlineLevel="1" thickBot="1" x14ac:dyDescent="0.3">
      <c r="A18" s="130" t="s">
        <v>296</v>
      </c>
      <c r="B18"/>
      <c r="C18" s="308" t="s">
        <v>581</v>
      </c>
      <c r="D18" s="308"/>
      <c r="E18" s="313" t="s">
        <v>376</v>
      </c>
      <c r="F18" s="317" t="s">
        <v>24</v>
      </c>
      <c r="G18" s="309">
        <v>4</v>
      </c>
      <c r="H18" s="310">
        <f>IF(F18&lt;&gt;"",VLOOKUP(F18,A$15:D$375,2,FALSE),0)</f>
        <v>2</v>
      </c>
      <c r="I18" s="121" t="b">
        <f>G18&lt;=H18</f>
        <v>0</v>
      </c>
      <c r="J18" s="301" t="str">
        <f>IF(COUNTIF(B19:B24,"ja")&gt;0,A18&amp;" in "&amp;RIGHT(N24,LEN(N24)-2)&amp;" ("&amp;C18&amp;")","")</f>
        <v/>
      </c>
      <c r="L18" s="140" t="str">
        <f t="shared" si="0"/>
        <v/>
      </c>
      <c r="M18" s="140" t="str">
        <f>IF(J18="",M17,M17&amp;", "&amp;J18)</f>
        <v/>
      </c>
    </row>
    <row r="19" spans="1:14" ht="15" customHeight="1" outlineLevel="1" x14ac:dyDescent="0.25">
      <c r="A19" s="133" t="str">
        <f>'_Tabellen und Listen'!B190</f>
        <v>Klettern</v>
      </c>
      <c r="B19" s="211" t="s">
        <v>375</v>
      </c>
      <c r="C19" s="307"/>
      <c r="D19" s="308"/>
      <c r="E19" s="313"/>
      <c r="F19" s="317"/>
      <c r="G19" s="309"/>
      <c r="H19" s="311"/>
      <c r="I19" s="152" t="b">
        <f>I18</f>
        <v>0</v>
      </c>
      <c r="J19" s="303"/>
      <c r="K19" s="136" t="s">
        <v>579</v>
      </c>
      <c r="L19" s="140" t="str">
        <f t="shared" si="0"/>
        <v/>
      </c>
      <c r="M19" s="140" t="str">
        <f t="shared" ref="M19:M84" si="1">IF(J19="",M18,M18&amp;", "&amp;J19)</f>
        <v/>
      </c>
      <c r="N19" s="141" t="str">
        <f>IF(B19="ja",", "&amp;A19,"")</f>
        <v/>
      </c>
    </row>
    <row r="20" spans="1:14" ht="15" customHeight="1" outlineLevel="1" x14ac:dyDescent="0.25">
      <c r="A20" s="133" t="str">
        <f>'_Tabellen und Listen'!B191</f>
        <v>Rennen</v>
      </c>
      <c r="B20" s="211" t="s">
        <v>375</v>
      </c>
      <c r="C20" s="307"/>
      <c r="D20" s="308"/>
      <c r="E20" s="313"/>
      <c r="F20" s="317"/>
      <c r="G20" s="309"/>
      <c r="H20" s="311"/>
      <c r="I20" s="152" t="b">
        <f t="shared" ref="I20:I24" si="2">I19</f>
        <v>0</v>
      </c>
      <c r="J20" s="303"/>
      <c r="K20" s="136" t="s">
        <v>579</v>
      </c>
      <c r="L20" s="140" t="str">
        <f t="shared" si="0"/>
        <v/>
      </c>
      <c r="M20" s="140" t="str">
        <f t="shared" si="1"/>
        <v/>
      </c>
      <c r="N20" s="142" t="str">
        <f>IF(B20="ja",N19&amp;", "&amp;A20,N19)</f>
        <v/>
      </c>
    </row>
    <row r="21" spans="1:14" ht="15" customHeight="1" outlineLevel="1" x14ac:dyDescent="0.25">
      <c r="A21" s="133" t="str">
        <f>'_Tabellen und Listen'!B192</f>
        <v>Schwimmen</v>
      </c>
      <c r="B21" s="211" t="s">
        <v>375</v>
      </c>
      <c r="C21" s="307"/>
      <c r="D21" s="308"/>
      <c r="E21" s="313"/>
      <c r="F21" s="317"/>
      <c r="G21" s="309"/>
      <c r="H21" s="311"/>
      <c r="I21" s="152" t="b">
        <f t="shared" si="2"/>
        <v>0</v>
      </c>
      <c r="J21" s="303"/>
      <c r="K21" s="136" t="s">
        <v>579</v>
      </c>
      <c r="L21" s="140" t="str">
        <f t="shared" si="0"/>
        <v/>
      </c>
      <c r="M21" s="140" t="str">
        <f t="shared" si="1"/>
        <v/>
      </c>
      <c r="N21" s="142" t="str">
        <f t="shared" ref="N21:N24" si="3">IF(B21="ja",N20&amp;", "&amp;A21,N20)</f>
        <v/>
      </c>
    </row>
    <row r="22" spans="1:14" ht="15" customHeight="1" outlineLevel="1" x14ac:dyDescent="0.25">
      <c r="A22" s="133" t="str">
        <f>'_Tabellen und Listen'!B193</f>
        <v>Springen</v>
      </c>
      <c r="B22" s="211" t="s">
        <v>375</v>
      </c>
      <c r="C22" s="307"/>
      <c r="D22" s="308"/>
      <c r="E22" s="313"/>
      <c r="F22" s="317"/>
      <c r="G22" s="309"/>
      <c r="H22" s="311"/>
      <c r="I22" s="152" t="b">
        <f t="shared" si="2"/>
        <v>0</v>
      </c>
      <c r="J22" s="303"/>
      <c r="K22" s="136" t="s">
        <v>579</v>
      </c>
      <c r="L22" s="140" t="str">
        <f t="shared" si="0"/>
        <v/>
      </c>
      <c r="M22" s="140" t="str">
        <f t="shared" si="1"/>
        <v/>
      </c>
      <c r="N22" s="142" t="str">
        <f t="shared" si="3"/>
        <v/>
      </c>
    </row>
    <row r="23" spans="1:14" ht="15" customHeight="1" outlineLevel="1" x14ac:dyDescent="0.25">
      <c r="A23" s="133" t="str">
        <f>'_Tabellen und Listen'!B194</f>
        <v>Stärke</v>
      </c>
      <c r="B23" s="211" t="s">
        <v>375</v>
      </c>
      <c r="C23" s="307"/>
      <c r="D23" s="308"/>
      <c r="E23" s="313"/>
      <c r="F23" s="317"/>
      <c r="G23" s="309"/>
      <c r="H23" s="311"/>
      <c r="I23" s="152" t="b">
        <f t="shared" si="2"/>
        <v>0</v>
      </c>
      <c r="J23" s="303"/>
      <c r="K23" s="136" t="s">
        <v>579</v>
      </c>
      <c r="L23" s="140" t="str">
        <f t="shared" si="0"/>
        <v/>
      </c>
      <c r="M23" s="140" t="str">
        <f t="shared" si="1"/>
        <v/>
      </c>
      <c r="N23" s="142" t="str">
        <f t="shared" si="3"/>
        <v/>
      </c>
    </row>
    <row r="24" spans="1:14" ht="15" customHeight="1" outlineLevel="1" thickBot="1" x14ac:dyDescent="0.3">
      <c r="A24" s="133" t="str">
        <f>'_Tabellen und Listen'!B195</f>
        <v>Werfen</v>
      </c>
      <c r="B24" s="211" t="s">
        <v>375</v>
      </c>
      <c r="C24" s="307"/>
      <c r="D24" s="308"/>
      <c r="E24" s="313"/>
      <c r="F24" s="317"/>
      <c r="G24" s="309"/>
      <c r="H24" s="312"/>
      <c r="I24" s="152" t="b">
        <f t="shared" si="2"/>
        <v>0</v>
      </c>
      <c r="J24" s="302"/>
      <c r="K24" s="136" t="s">
        <v>579</v>
      </c>
      <c r="L24" s="140" t="str">
        <f t="shared" si="0"/>
        <v/>
      </c>
      <c r="M24" s="140" t="str">
        <f t="shared" si="1"/>
        <v/>
      </c>
      <c r="N24" s="143" t="str">
        <f t="shared" si="3"/>
        <v/>
      </c>
    </row>
    <row r="25" spans="1:14" ht="15" customHeight="1" outlineLevel="1" x14ac:dyDescent="0.25">
      <c r="A25" s="340" t="s">
        <v>297</v>
      </c>
      <c r="B25" s="330" t="s">
        <v>375</v>
      </c>
      <c r="C25" s="308" t="s">
        <v>582</v>
      </c>
      <c r="D25" s="308"/>
      <c r="E25" s="316"/>
      <c r="F25" s="115" t="s">
        <v>175</v>
      </c>
      <c r="G25" s="116">
        <v>3</v>
      </c>
      <c r="H25" s="112">
        <f>IF(F25&lt;&gt;"",VLOOKUP(F25,A$15:D$375,2,FALSE),0)</f>
        <v>2</v>
      </c>
      <c r="I25" s="320" t="b">
        <f>AND(G25&lt;=H25,G26&lt;=H26)</f>
        <v>0</v>
      </c>
      <c r="J25" s="301" t="str">
        <f>IF(B25="ja",A25&amp;" ("&amp;C25&amp;")","")</f>
        <v/>
      </c>
      <c r="L25" s="140" t="str">
        <f t="shared" si="0"/>
        <v/>
      </c>
      <c r="M25" s="140" t="str">
        <f t="shared" si="1"/>
        <v/>
      </c>
    </row>
    <row r="26" spans="1:14" ht="15" customHeight="1" outlineLevel="1" x14ac:dyDescent="0.25">
      <c r="A26" s="341"/>
      <c r="B26" s="330"/>
      <c r="C26" s="308"/>
      <c r="D26" s="308"/>
      <c r="E26" s="316"/>
      <c r="F26" s="115" t="s">
        <v>95</v>
      </c>
      <c r="G26" s="116">
        <v>4</v>
      </c>
      <c r="H26" s="112">
        <f>IF(F26&lt;&gt;"",VLOOKUP(F26,A$15:D$375,2,FALSE),0)</f>
        <v>2</v>
      </c>
      <c r="I26" s="321"/>
      <c r="J26" s="302"/>
      <c r="L26" s="140" t="str">
        <f t="shared" si="0"/>
        <v/>
      </c>
      <c r="M26" s="140" t="str">
        <f t="shared" si="1"/>
        <v/>
      </c>
    </row>
    <row r="27" spans="1:14" ht="30" customHeight="1" outlineLevel="1" thickBot="1" x14ac:dyDescent="0.3">
      <c r="A27" s="122" t="s">
        <v>298</v>
      </c>
      <c r="B27" s="211" t="s">
        <v>375</v>
      </c>
      <c r="C27" s="307" t="s">
        <v>583</v>
      </c>
      <c r="D27" s="308"/>
      <c r="E27" s="43"/>
      <c r="F27" s="115" t="s">
        <v>95</v>
      </c>
      <c r="G27" s="116">
        <v>3</v>
      </c>
      <c r="H27" s="112">
        <f>IF(F27&lt;&gt;"",VLOOKUP(F27,A$15:D$375,2,FALSE),0)</f>
        <v>2</v>
      </c>
      <c r="I27" s="121" t="b">
        <f>G27&lt;=H27</f>
        <v>0</v>
      </c>
      <c r="J27" s="150" t="str">
        <f>IF(B27="ja",A27&amp;" ("&amp;C27&amp;")","")</f>
        <v/>
      </c>
      <c r="L27" s="140" t="str">
        <f t="shared" si="0"/>
        <v/>
      </c>
      <c r="M27" s="140" t="str">
        <f t="shared" si="1"/>
        <v/>
      </c>
    </row>
    <row r="28" spans="1:14" ht="15" customHeight="1" outlineLevel="1" x14ac:dyDescent="0.25">
      <c r="A28" s="331" t="s">
        <v>299</v>
      </c>
      <c r="B28" s="211"/>
      <c r="C28" s="314" t="s">
        <v>584</v>
      </c>
      <c r="D28" s="315"/>
      <c r="E28" s="313" t="s">
        <v>376</v>
      </c>
      <c r="F28" s="317" t="s">
        <v>248</v>
      </c>
      <c r="G28" s="309">
        <v>1</v>
      </c>
      <c r="H28" s="310" t="str">
        <f>IF(F28&lt;&gt;"",VLOOKUP(F28,A$15:D$375,2,FALSE),0)</f>
        <v>nein</v>
      </c>
      <c r="I28" s="121" t="b">
        <f>G28&lt;=H28</f>
        <v>1</v>
      </c>
      <c r="J28" s="301" t="str">
        <f>IF(COUNTA(B28:B34)&gt;0,A28&amp;" in "&amp;RIGHT(N34,LEN(N34)-2)&amp;" ("&amp;C28&amp;")","")</f>
        <v/>
      </c>
      <c r="L28" s="140" t="str">
        <f t="shared" si="0"/>
        <v/>
      </c>
      <c r="M28" s="140" t="str">
        <f t="shared" si="1"/>
        <v/>
      </c>
      <c r="N28" s="141" t="str">
        <f>IF(B28&lt;&gt;"",", "&amp;B28,"")</f>
        <v/>
      </c>
    </row>
    <row r="29" spans="1:14" ht="15" customHeight="1" outlineLevel="1" x14ac:dyDescent="0.25">
      <c r="A29" s="335"/>
      <c r="B29" s="211"/>
      <c r="C29" s="314"/>
      <c r="D29" s="315"/>
      <c r="E29" s="313"/>
      <c r="F29" s="317"/>
      <c r="G29" s="309"/>
      <c r="H29" s="311"/>
      <c r="I29" s="152" t="b">
        <f>+I28</f>
        <v>1</v>
      </c>
      <c r="J29" s="303"/>
      <c r="K29" s="136" t="s">
        <v>579</v>
      </c>
      <c r="L29" s="140" t="str">
        <f t="shared" si="0"/>
        <v/>
      </c>
      <c r="M29" s="140" t="str">
        <f t="shared" si="1"/>
        <v/>
      </c>
      <c r="N29" s="142" t="str">
        <f>IF(B29&lt;&gt;"",N28&amp;", "&amp;B29,N28)</f>
        <v/>
      </c>
    </row>
    <row r="30" spans="1:14" ht="15" customHeight="1" outlineLevel="1" x14ac:dyDescent="0.25">
      <c r="A30" s="335"/>
      <c r="B30" s="211"/>
      <c r="C30" s="314"/>
      <c r="D30" s="315"/>
      <c r="E30" s="313"/>
      <c r="F30" s="317"/>
      <c r="G30" s="309"/>
      <c r="H30" s="311"/>
      <c r="I30" s="152" t="b">
        <f t="shared" ref="I30:I34" si="4">+I29</f>
        <v>1</v>
      </c>
      <c r="J30" s="303"/>
      <c r="K30" s="136" t="s">
        <v>579</v>
      </c>
      <c r="L30" s="140" t="str">
        <f t="shared" si="0"/>
        <v/>
      </c>
      <c r="M30" s="140" t="str">
        <f t="shared" si="1"/>
        <v/>
      </c>
      <c r="N30" s="142" t="str">
        <f t="shared" ref="N30:N34" si="5">IF(B30&lt;&gt;"",N29&amp;", "&amp;B30,N29)</f>
        <v/>
      </c>
    </row>
    <row r="31" spans="1:14" ht="15" customHeight="1" outlineLevel="1" x14ac:dyDescent="0.25">
      <c r="A31" s="335"/>
      <c r="B31" s="211"/>
      <c r="C31" s="314"/>
      <c r="D31" s="315"/>
      <c r="E31" s="313"/>
      <c r="F31" s="317"/>
      <c r="G31" s="309"/>
      <c r="H31" s="311"/>
      <c r="I31" s="152" t="b">
        <f t="shared" si="4"/>
        <v>1</v>
      </c>
      <c r="J31" s="303"/>
      <c r="K31" s="136" t="s">
        <v>579</v>
      </c>
      <c r="L31" s="140" t="str">
        <f t="shared" si="0"/>
        <v/>
      </c>
      <c r="M31" s="140" t="str">
        <f t="shared" si="1"/>
        <v/>
      </c>
      <c r="N31" s="142" t="str">
        <f t="shared" si="5"/>
        <v/>
      </c>
    </row>
    <row r="32" spans="1:14" ht="15" customHeight="1" outlineLevel="1" x14ac:dyDescent="0.25">
      <c r="A32" s="335"/>
      <c r="B32" s="211"/>
      <c r="C32" s="314" t="s">
        <v>592</v>
      </c>
      <c r="D32" s="315"/>
      <c r="E32" s="313"/>
      <c r="F32" s="317"/>
      <c r="G32" s="309"/>
      <c r="H32" s="311"/>
      <c r="I32" s="152" t="b">
        <f t="shared" si="4"/>
        <v>1</v>
      </c>
      <c r="J32" s="303"/>
      <c r="K32" s="136" t="s">
        <v>579</v>
      </c>
      <c r="L32" s="140" t="str">
        <f t="shared" si="0"/>
        <v/>
      </c>
      <c r="M32" s="140" t="str">
        <f t="shared" si="1"/>
        <v/>
      </c>
      <c r="N32" s="142" t="str">
        <f t="shared" si="5"/>
        <v/>
      </c>
    </row>
    <row r="33" spans="1:14" ht="15" customHeight="1" outlineLevel="1" x14ac:dyDescent="0.25">
      <c r="A33" s="335"/>
      <c r="B33" s="211"/>
      <c r="C33" s="314"/>
      <c r="D33" s="315"/>
      <c r="E33" s="313"/>
      <c r="F33" s="317"/>
      <c r="G33" s="309"/>
      <c r="H33" s="311"/>
      <c r="I33" s="152" t="b">
        <f t="shared" si="4"/>
        <v>1</v>
      </c>
      <c r="J33" s="303"/>
      <c r="K33" s="136" t="s">
        <v>579</v>
      </c>
      <c r="L33" s="140" t="str">
        <f t="shared" si="0"/>
        <v/>
      </c>
      <c r="M33" s="140" t="str">
        <f t="shared" si="1"/>
        <v/>
      </c>
      <c r="N33" s="142" t="str">
        <f t="shared" si="5"/>
        <v/>
      </c>
    </row>
    <row r="34" spans="1:14" ht="15" customHeight="1" outlineLevel="1" thickBot="1" x14ac:dyDescent="0.3">
      <c r="A34" s="332"/>
      <c r="B34" s="211"/>
      <c r="C34" s="314"/>
      <c r="D34" s="315"/>
      <c r="E34" s="313"/>
      <c r="F34" s="317"/>
      <c r="G34" s="309"/>
      <c r="H34" s="312"/>
      <c r="I34" s="152" t="b">
        <f t="shared" si="4"/>
        <v>1</v>
      </c>
      <c r="J34" s="302"/>
      <c r="K34" s="136" t="s">
        <v>579</v>
      </c>
      <c r="L34" s="140" t="str">
        <f t="shared" si="0"/>
        <v/>
      </c>
      <c r="M34" s="140" t="str">
        <f t="shared" si="1"/>
        <v/>
      </c>
      <c r="N34" s="143" t="str">
        <f t="shared" si="5"/>
        <v/>
      </c>
    </row>
    <row r="35" spans="1:14" ht="23.1" customHeight="1" outlineLevel="1" x14ac:dyDescent="0.25">
      <c r="A35" s="331" t="s">
        <v>300</v>
      </c>
      <c r="B35" s="330" t="s">
        <v>375</v>
      </c>
      <c r="C35" s="308" t="s">
        <v>585</v>
      </c>
      <c r="D35" s="308"/>
      <c r="E35" s="43"/>
      <c r="F35" s="115" t="s">
        <v>171</v>
      </c>
      <c r="G35" s="116">
        <v>2</v>
      </c>
      <c r="H35" s="112">
        <f>IF(F35&lt;&gt;"",VLOOKUP(F35,A$15:D$375,2,FALSE),0)</f>
        <v>2</v>
      </c>
      <c r="I35" s="320" t="b">
        <f>AND(G35&lt;=H35,G36&lt;=H36)</f>
        <v>0</v>
      </c>
      <c r="J35" s="301" t="str">
        <f>IF(B35="ja",A35&amp;" ("&amp;C35&amp;")","")</f>
        <v/>
      </c>
      <c r="L35" s="140" t="str">
        <f t="shared" si="0"/>
        <v/>
      </c>
      <c r="M35" s="140" t="str">
        <f t="shared" si="1"/>
        <v/>
      </c>
    </row>
    <row r="36" spans="1:14" ht="23.1" customHeight="1" outlineLevel="1" thickBot="1" x14ac:dyDescent="0.3">
      <c r="A36" s="332"/>
      <c r="B36" s="330"/>
      <c r="C36" s="308"/>
      <c r="D36" s="308"/>
      <c r="E36" s="43"/>
      <c r="F36" s="115" t="s">
        <v>210</v>
      </c>
      <c r="G36" s="116">
        <v>1</v>
      </c>
      <c r="H36" s="112">
        <f>IF(F36&lt;&gt;"",VLOOKUP(F36,A$15:D$375,2,FALSE),0)</f>
        <v>0</v>
      </c>
      <c r="I36" s="321"/>
      <c r="J36" s="302"/>
      <c r="L36" s="140" t="str">
        <f t="shared" si="0"/>
        <v/>
      </c>
      <c r="M36" s="140" t="str">
        <f t="shared" si="1"/>
        <v/>
      </c>
    </row>
    <row r="37" spans="1:14" ht="15" customHeight="1" outlineLevel="1" x14ac:dyDescent="0.25">
      <c r="A37" s="347" t="s">
        <v>301</v>
      </c>
      <c r="B37" s="211"/>
      <c r="C37" s="307" t="s">
        <v>586</v>
      </c>
      <c r="D37" s="308"/>
      <c r="E37" s="313" t="s">
        <v>376</v>
      </c>
      <c r="F37" s="115">
        <f>B37</f>
        <v>0</v>
      </c>
      <c r="G37" s="116">
        <v>1</v>
      </c>
      <c r="H37" s="112">
        <f t="shared" ref="H37:H43" si="6">IF(B37&lt;&gt;"",VLOOKUP(B37,A$15:D$375,2,FALSE),0)</f>
        <v>0</v>
      </c>
      <c r="I37" s="121" t="b">
        <f>G37&lt;=H37</f>
        <v>0</v>
      </c>
      <c r="J37" s="301" t="str">
        <f>IF(COUNTA(B37:B43)&gt;0,A37&amp;" in "&amp;RIGHT(N43,LEN(N43)-2)&amp;" ("&amp;C37&amp;")","")</f>
        <v/>
      </c>
      <c r="K37" s="136" t="s">
        <v>579</v>
      </c>
      <c r="L37" s="140" t="str">
        <f t="shared" si="0"/>
        <v/>
      </c>
      <c r="M37" s="140" t="str">
        <f t="shared" si="1"/>
        <v/>
      </c>
      <c r="N37" s="141" t="str">
        <f>IF(B37&lt;&gt;"",", "&amp;B37,"")</f>
        <v/>
      </c>
    </row>
    <row r="38" spans="1:14" ht="15" customHeight="1" outlineLevel="1" x14ac:dyDescent="0.25">
      <c r="A38" s="347"/>
      <c r="B38" s="211"/>
      <c r="C38" s="307"/>
      <c r="D38" s="308"/>
      <c r="E38" s="313"/>
      <c r="F38" s="115">
        <f t="shared" ref="F38:F43" si="7">B38</f>
        <v>0</v>
      </c>
      <c r="G38" s="116">
        <v>1</v>
      </c>
      <c r="H38" s="112">
        <f t="shared" si="6"/>
        <v>0</v>
      </c>
      <c r="I38" s="121" t="b">
        <f t="shared" ref="I38:I52" si="8">G38&lt;=H38</f>
        <v>0</v>
      </c>
      <c r="J38" s="303"/>
      <c r="K38" s="136" t="s">
        <v>579</v>
      </c>
      <c r="L38" s="140" t="str">
        <f t="shared" si="0"/>
        <v/>
      </c>
      <c r="M38" s="140" t="str">
        <f t="shared" si="1"/>
        <v/>
      </c>
      <c r="N38" s="142" t="str">
        <f>IF(B38&lt;&gt;"",N37&amp;", "&amp;B38,N37)</f>
        <v/>
      </c>
    </row>
    <row r="39" spans="1:14" ht="15" customHeight="1" outlineLevel="1" x14ac:dyDescent="0.25">
      <c r="A39" s="347"/>
      <c r="B39" s="211"/>
      <c r="C39" s="307"/>
      <c r="D39" s="308"/>
      <c r="E39" s="313"/>
      <c r="F39" s="115">
        <f t="shared" si="7"/>
        <v>0</v>
      </c>
      <c r="G39" s="116">
        <v>1</v>
      </c>
      <c r="H39" s="112">
        <f t="shared" si="6"/>
        <v>0</v>
      </c>
      <c r="I39" s="121" t="b">
        <f t="shared" si="8"/>
        <v>0</v>
      </c>
      <c r="J39" s="303"/>
      <c r="K39" s="136" t="s">
        <v>579</v>
      </c>
      <c r="L39" s="140" t="str">
        <f t="shared" si="0"/>
        <v/>
      </c>
      <c r="M39" s="140" t="str">
        <f t="shared" si="1"/>
        <v/>
      </c>
      <c r="N39" s="142" t="str">
        <f t="shared" ref="N39:N43" si="9">IF(B39&lt;&gt;"",N38&amp;", "&amp;B39,N38)</f>
        <v/>
      </c>
    </row>
    <row r="40" spans="1:14" ht="15" customHeight="1" outlineLevel="1" x14ac:dyDescent="0.25">
      <c r="A40" s="347"/>
      <c r="B40" s="211"/>
      <c r="C40" s="307"/>
      <c r="D40" s="308"/>
      <c r="E40" s="313"/>
      <c r="F40" s="115">
        <f t="shared" si="7"/>
        <v>0</v>
      </c>
      <c r="G40" s="116">
        <v>1</v>
      </c>
      <c r="H40" s="112">
        <f t="shared" si="6"/>
        <v>0</v>
      </c>
      <c r="I40" s="121" t="b">
        <f t="shared" si="8"/>
        <v>0</v>
      </c>
      <c r="J40" s="303"/>
      <c r="K40" s="136" t="s">
        <v>579</v>
      </c>
      <c r="L40" s="140" t="str">
        <f t="shared" si="0"/>
        <v/>
      </c>
      <c r="M40" s="140" t="str">
        <f t="shared" si="1"/>
        <v/>
      </c>
      <c r="N40" s="142" t="str">
        <f t="shared" si="9"/>
        <v/>
      </c>
    </row>
    <row r="41" spans="1:14" ht="15" customHeight="1" outlineLevel="1" x14ac:dyDescent="0.25">
      <c r="A41" s="347"/>
      <c r="B41" s="211"/>
      <c r="C41" s="307" t="s">
        <v>593</v>
      </c>
      <c r="D41" s="308"/>
      <c r="E41" s="313"/>
      <c r="F41" s="115">
        <f t="shared" si="7"/>
        <v>0</v>
      </c>
      <c r="G41" s="116">
        <v>1</v>
      </c>
      <c r="H41" s="112">
        <f t="shared" si="6"/>
        <v>0</v>
      </c>
      <c r="I41" s="121" t="b">
        <f t="shared" si="8"/>
        <v>0</v>
      </c>
      <c r="J41" s="303"/>
      <c r="K41" s="136" t="s">
        <v>579</v>
      </c>
      <c r="L41" s="140" t="str">
        <f t="shared" si="0"/>
        <v/>
      </c>
      <c r="M41" s="140" t="str">
        <f t="shared" si="1"/>
        <v/>
      </c>
      <c r="N41" s="142" t="str">
        <f t="shared" si="9"/>
        <v/>
      </c>
    </row>
    <row r="42" spans="1:14" ht="15" customHeight="1" outlineLevel="1" x14ac:dyDescent="0.25">
      <c r="A42" s="347"/>
      <c r="B42" s="211"/>
      <c r="C42" s="307"/>
      <c r="D42" s="308"/>
      <c r="E42" s="313"/>
      <c r="F42" s="115">
        <f t="shared" si="7"/>
        <v>0</v>
      </c>
      <c r="G42" s="116">
        <v>1</v>
      </c>
      <c r="H42" s="112">
        <f t="shared" si="6"/>
        <v>0</v>
      </c>
      <c r="I42" s="121" t="b">
        <f t="shared" si="8"/>
        <v>0</v>
      </c>
      <c r="J42" s="303"/>
      <c r="K42" s="136" t="s">
        <v>579</v>
      </c>
      <c r="L42" s="140" t="str">
        <f t="shared" si="0"/>
        <v/>
      </c>
      <c r="M42" s="140" t="str">
        <f t="shared" si="1"/>
        <v/>
      </c>
      <c r="N42" s="142" t="str">
        <f t="shared" si="9"/>
        <v/>
      </c>
    </row>
    <row r="43" spans="1:14" ht="15" customHeight="1" outlineLevel="1" thickBot="1" x14ac:dyDescent="0.3">
      <c r="A43" s="341"/>
      <c r="B43" s="211"/>
      <c r="C43" s="307"/>
      <c r="D43" s="308"/>
      <c r="E43" s="313"/>
      <c r="F43" s="115">
        <f t="shared" si="7"/>
        <v>0</v>
      </c>
      <c r="G43" s="116">
        <v>1</v>
      </c>
      <c r="H43" s="112">
        <f t="shared" si="6"/>
        <v>0</v>
      </c>
      <c r="I43" s="121" t="b">
        <f t="shared" si="8"/>
        <v>0</v>
      </c>
      <c r="J43" s="302"/>
      <c r="K43" s="136" t="s">
        <v>579</v>
      </c>
      <c r="L43" s="140" t="str">
        <f t="shared" si="0"/>
        <v/>
      </c>
      <c r="M43" s="140" t="str">
        <f t="shared" si="1"/>
        <v/>
      </c>
      <c r="N43" s="143" t="str">
        <f t="shared" si="9"/>
        <v/>
      </c>
    </row>
    <row r="44" spans="1:14" ht="15" customHeight="1" outlineLevel="1" x14ac:dyDescent="0.25">
      <c r="A44" s="331" t="s">
        <v>302</v>
      </c>
      <c r="B44" s="214"/>
      <c r="C44" s="307" t="s">
        <v>587</v>
      </c>
      <c r="D44" s="308"/>
      <c r="E44" s="313" t="s">
        <v>376</v>
      </c>
      <c r="F44" s="317" t="s">
        <v>174</v>
      </c>
      <c r="G44" s="309">
        <v>4</v>
      </c>
      <c r="H44" s="310">
        <f>IF(F44&lt;&gt;"",VLOOKUP(F44,A$15:D$375,2,FALSE),0)</f>
        <v>2</v>
      </c>
      <c r="I44" s="152" t="b">
        <f>G$44&lt;=H$44</f>
        <v>0</v>
      </c>
      <c r="J44" s="301" t="str">
        <f>IF(COUNTA(B44:B50)&gt;0,A44&amp;" in "&amp;RIGHT(N50,LEN(N50)-2)&amp;" ("&amp;C44&amp;")","")</f>
        <v/>
      </c>
      <c r="K44" s="136" t="s">
        <v>579</v>
      </c>
      <c r="L44" s="140" t="str">
        <f t="shared" si="0"/>
        <v/>
      </c>
      <c r="M44" s="140" t="str">
        <f t="shared" si="1"/>
        <v/>
      </c>
      <c r="N44" s="141" t="str">
        <f>IF(B44&lt;&gt;"",", "&amp;B44,"")</f>
        <v/>
      </c>
    </row>
    <row r="45" spans="1:14" ht="15" customHeight="1" outlineLevel="1" x14ac:dyDescent="0.25">
      <c r="A45" s="335"/>
      <c r="B45" s="214"/>
      <c r="C45" s="307"/>
      <c r="D45" s="308"/>
      <c r="E45" s="313"/>
      <c r="F45" s="317"/>
      <c r="G45" s="309"/>
      <c r="H45" s="311"/>
      <c r="I45" s="152" t="b">
        <f t="shared" ref="I45:I50" si="10">G$44&lt;=H$44</f>
        <v>0</v>
      </c>
      <c r="J45" s="303"/>
      <c r="K45" s="136" t="s">
        <v>579</v>
      </c>
      <c r="L45" s="140" t="str">
        <f t="shared" si="0"/>
        <v/>
      </c>
      <c r="M45" s="140" t="str">
        <f t="shared" si="1"/>
        <v/>
      </c>
      <c r="N45" s="142" t="str">
        <f>IF(B45&lt;&gt;"",N44&amp;", "&amp;B45,N44)</f>
        <v/>
      </c>
    </row>
    <row r="46" spans="1:14" ht="15" customHeight="1" outlineLevel="1" x14ac:dyDescent="0.25">
      <c r="A46" s="335"/>
      <c r="B46" s="214"/>
      <c r="C46" s="307"/>
      <c r="D46" s="308"/>
      <c r="E46" s="313"/>
      <c r="F46" s="317"/>
      <c r="G46" s="309"/>
      <c r="H46" s="311"/>
      <c r="I46" s="152" t="b">
        <f t="shared" si="10"/>
        <v>0</v>
      </c>
      <c r="J46" s="303"/>
      <c r="K46" s="136" t="s">
        <v>579</v>
      </c>
      <c r="L46" s="140" t="str">
        <f t="shared" si="0"/>
        <v/>
      </c>
      <c r="M46" s="140" t="str">
        <f t="shared" si="1"/>
        <v/>
      </c>
      <c r="N46" s="142" t="str">
        <f t="shared" ref="N46:N50" si="11">IF(B46&lt;&gt;"",N45&amp;", "&amp;B46,N45)</f>
        <v/>
      </c>
    </row>
    <row r="47" spans="1:14" ht="15" customHeight="1" outlineLevel="1" x14ac:dyDescent="0.25">
      <c r="A47" s="335"/>
      <c r="B47" s="214"/>
      <c r="C47" s="307"/>
      <c r="D47" s="308"/>
      <c r="E47" s="313"/>
      <c r="F47" s="317"/>
      <c r="G47" s="309"/>
      <c r="H47" s="311"/>
      <c r="I47" s="152" t="b">
        <f t="shared" si="10"/>
        <v>0</v>
      </c>
      <c r="J47" s="303"/>
      <c r="K47" s="136" t="s">
        <v>579</v>
      </c>
      <c r="L47" s="140" t="str">
        <f t="shared" si="0"/>
        <v/>
      </c>
      <c r="M47" s="140" t="str">
        <f t="shared" si="1"/>
        <v/>
      </c>
      <c r="N47" s="142" t="str">
        <f t="shared" si="11"/>
        <v/>
      </c>
    </row>
    <row r="48" spans="1:14" ht="15" customHeight="1" outlineLevel="1" x14ac:dyDescent="0.25">
      <c r="A48" s="335"/>
      <c r="B48" s="214"/>
      <c r="C48" s="307"/>
      <c r="D48" s="308"/>
      <c r="E48" s="313"/>
      <c r="F48" s="317"/>
      <c r="G48" s="309"/>
      <c r="H48" s="311"/>
      <c r="I48" s="152" t="b">
        <f t="shared" si="10"/>
        <v>0</v>
      </c>
      <c r="J48" s="303"/>
      <c r="K48" s="136" t="s">
        <v>579</v>
      </c>
      <c r="L48" s="140" t="str">
        <f t="shared" si="0"/>
        <v/>
      </c>
      <c r="M48" s="140" t="str">
        <f t="shared" si="1"/>
        <v/>
      </c>
      <c r="N48" s="142" t="str">
        <f t="shared" si="11"/>
        <v/>
      </c>
    </row>
    <row r="49" spans="1:16" ht="15" customHeight="1" outlineLevel="1" x14ac:dyDescent="0.25">
      <c r="A49" s="335"/>
      <c r="B49" s="214"/>
      <c r="C49" s="307"/>
      <c r="D49" s="308"/>
      <c r="E49" s="313"/>
      <c r="F49" s="317"/>
      <c r="G49" s="309"/>
      <c r="H49" s="311"/>
      <c r="I49" s="152" t="b">
        <f t="shared" si="10"/>
        <v>0</v>
      </c>
      <c r="J49" s="303"/>
      <c r="K49" s="136" t="s">
        <v>579</v>
      </c>
      <c r="L49" s="140" t="str">
        <f t="shared" si="0"/>
        <v/>
      </c>
      <c r="M49" s="140" t="str">
        <f t="shared" si="1"/>
        <v/>
      </c>
      <c r="N49" s="142" t="str">
        <f t="shared" si="11"/>
        <v/>
      </c>
    </row>
    <row r="50" spans="1:16" ht="15" customHeight="1" outlineLevel="1" thickBot="1" x14ac:dyDescent="0.3">
      <c r="A50" s="332"/>
      <c r="B50" s="214"/>
      <c r="C50" s="307"/>
      <c r="D50" s="308"/>
      <c r="E50" s="313"/>
      <c r="F50" s="317"/>
      <c r="G50" s="309"/>
      <c r="H50" s="312"/>
      <c r="I50" s="152" t="b">
        <f t="shared" si="10"/>
        <v>0</v>
      </c>
      <c r="J50" s="302"/>
      <c r="K50" s="136" t="s">
        <v>579</v>
      </c>
      <c r="L50" s="140" t="str">
        <f t="shared" si="0"/>
        <v/>
      </c>
      <c r="M50" s="140" t="str">
        <f t="shared" si="1"/>
        <v/>
      </c>
      <c r="N50" s="143" t="str">
        <f t="shared" si="11"/>
        <v/>
      </c>
    </row>
    <row r="51" spans="1:16" ht="90" customHeight="1" outlineLevel="1" x14ac:dyDescent="0.25">
      <c r="A51" s="122" t="s">
        <v>303</v>
      </c>
      <c r="B51" s="211" t="s">
        <v>375</v>
      </c>
      <c r="C51" s="307" t="s">
        <v>588</v>
      </c>
      <c r="D51" s="308"/>
      <c r="E51" s="43"/>
      <c r="F51" s="115" t="s">
        <v>177</v>
      </c>
      <c r="G51" s="116">
        <v>4</v>
      </c>
      <c r="H51" s="112">
        <f>IF(F51&lt;&gt;"",VLOOKUP(F51,A$15:D$375,2,FALSE),0)</f>
        <v>2</v>
      </c>
      <c r="I51" s="121" t="b">
        <f t="shared" si="8"/>
        <v>0</v>
      </c>
      <c r="J51" s="150" t="str">
        <f>IF(B51="ja",A51&amp;" ("&amp;C51&amp;")","")</f>
        <v/>
      </c>
      <c r="L51" s="140" t="str">
        <f t="shared" si="0"/>
        <v/>
      </c>
      <c r="M51" s="140" t="str">
        <f t="shared" si="1"/>
        <v/>
      </c>
      <c r="N51" s="139"/>
    </row>
    <row r="52" spans="1:16" ht="45" customHeight="1" outlineLevel="1" x14ac:dyDescent="0.25">
      <c r="A52" s="122" t="s">
        <v>304</v>
      </c>
      <c r="B52" s="211" t="s">
        <v>375</v>
      </c>
      <c r="C52" s="307" t="s">
        <v>589</v>
      </c>
      <c r="D52" s="308"/>
      <c r="E52" s="43"/>
      <c r="F52" s="115" t="s">
        <v>174</v>
      </c>
      <c r="G52" s="116">
        <v>4</v>
      </c>
      <c r="H52" s="112">
        <f>IF(F52&lt;&gt;"",VLOOKUP(F52,A$15:D$375,2,FALSE),0)</f>
        <v>2</v>
      </c>
      <c r="I52" s="121" t="b">
        <f t="shared" si="8"/>
        <v>0</v>
      </c>
      <c r="J52" s="150" t="str">
        <f>IF(B52="ja",A52&amp;" ("&amp;C52&amp;")","")</f>
        <v/>
      </c>
      <c r="L52" s="140" t="str">
        <f t="shared" si="0"/>
        <v/>
      </c>
      <c r="M52" s="140" t="str">
        <f t="shared" si="1"/>
        <v/>
      </c>
      <c r="N52" s="139"/>
      <c r="P52" s="29"/>
    </row>
    <row r="53" spans="1:16" ht="15" customHeight="1" outlineLevel="1" x14ac:dyDescent="0.25">
      <c r="A53" s="122" t="s">
        <v>305</v>
      </c>
      <c r="B53" s="211" t="s">
        <v>375</v>
      </c>
      <c r="C53" s="307" t="s">
        <v>311</v>
      </c>
      <c r="D53" s="308"/>
      <c r="E53" s="113"/>
      <c r="F53" s="115"/>
      <c r="G53" s="116"/>
      <c r="H53" s="116"/>
      <c r="I53" s="153" t="b">
        <v>1</v>
      </c>
      <c r="J53" s="150" t="str">
        <f>IF(B53="ja",A53&amp;" ("&amp;C53&amp;")","")</f>
        <v/>
      </c>
      <c r="L53" s="140" t="str">
        <f t="shared" si="0"/>
        <v/>
      </c>
      <c r="M53" s="140" t="str">
        <f t="shared" si="1"/>
        <v/>
      </c>
    </row>
    <row r="54" spans="1:16" ht="30" customHeight="1" outlineLevel="1" x14ac:dyDescent="0.25">
      <c r="A54" s="340" t="s">
        <v>306</v>
      </c>
      <c r="B54" s="330" t="s">
        <v>375</v>
      </c>
      <c r="C54" s="308" t="s">
        <v>590</v>
      </c>
      <c r="D54" s="308"/>
      <c r="E54" s="43"/>
      <c r="F54" s="115" t="s">
        <v>29</v>
      </c>
      <c r="G54" s="116">
        <v>4</v>
      </c>
      <c r="H54" s="112">
        <f>IF(F54&lt;&gt;"",VLOOKUP(F54,A$15:D$375,2,FALSE),0)</f>
        <v>2</v>
      </c>
      <c r="I54" s="320" t="b">
        <f>AND(G54&lt;=H54,G55&lt;=H55)</f>
        <v>0</v>
      </c>
      <c r="J54" s="301" t="str">
        <f>IF(B54="ja",A54&amp;" ("&amp;C54&amp;")","")</f>
        <v/>
      </c>
      <c r="L54" s="140" t="str">
        <f t="shared" si="0"/>
        <v/>
      </c>
      <c r="M54" s="140" t="str">
        <f t="shared" si="1"/>
        <v/>
      </c>
    </row>
    <row r="55" spans="1:16" ht="30" customHeight="1" outlineLevel="1" x14ac:dyDescent="0.25">
      <c r="A55" s="341"/>
      <c r="B55" s="330"/>
      <c r="C55" s="308"/>
      <c r="D55" s="308"/>
      <c r="E55" s="43"/>
      <c r="F55" s="115" t="s">
        <v>240</v>
      </c>
      <c r="G55" s="116">
        <v>1</v>
      </c>
      <c r="H55" s="112">
        <f>IF(F55&lt;&gt;"",VLOOKUP(F55,A$15:D$375,2,FALSE),0)</f>
        <v>0</v>
      </c>
      <c r="I55" s="321"/>
      <c r="J55" s="302"/>
      <c r="L55" s="140" t="str">
        <f t="shared" si="0"/>
        <v/>
      </c>
      <c r="M55" s="140" t="str">
        <f t="shared" si="1"/>
        <v/>
      </c>
    </row>
    <row r="56" spans="1:16" ht="36.950000000000003" customHeight="1" outlineLevel="1" x14ac:dyDescent="0.25">
      <c r="A56" s="327" t="s">
        <v>377</v>
      </c>
      <c r="B56" s="330" t="s">
        <v>375</v>
      </c>
      <c r="C56" s="308" t="s">
        <v>591</v>
      </c>
      <c r="D56" s="308"/>
      <c r="E56" s="43"/>
      <c r="F56" s="115" t="s">
        <v>29</v>
      </c>
      <c r="G56" s="116">
        <v>3</v>
      </c>
      <c r="H56" s="112">
        <f>IF(F56&lt;&gt;"",VLOOKUP(F56,A$15:D$375,2,FALSE),0)</f>
        <v>2</v>
      </c>
      <c r="I56" s="320" t="b">
        <f>AND(G56&lt;=H56,G57&lt;=H57)</f>
        <v>0</v>
      </c>
      <c r="J56" s="301" t="str">
        <f>IF(B56="ja",A56&amp;" ("&amp;C56&amp;")","")</f>
        <v/>
      </c>
      <c r="L56" s="140" t="str">
        <f t="shared" si="0"/>
        <v/>
      </c>
      <c r="M56" s="140" t="str">
        <f t="shared" si="1"/>
        <v/>
      </c>
    </row>
    <row r="57" spans="1:16" ht="36.950000000000003" customHeight="1" outlineLevel="1" x14ac:dyDescent="0.25">
      <c r="A57" s="329"/>
      <c r="B57" s="330"/>
      <c r="C57" s="308"/>
      <c r="D57" s="308"/>
      <c r="E57" s="43"/>
      <c r="F57" s="115" t="s">
        <v>241</v>
      </c>
      <c r="G57" s="116">
        <v>1</v>
      </c>
      <c r="H57" s="112">
        <f>IF(F57&lt;&gt;"",VLOOKUP(F57,A$15:D$375,2,FALSE),0)</f>
        <v>0</v>
      </c>
      <c r="I57" s="321"/>
      <c r="J57" s="302"/>
      <c r="L57" s="140" t="str">
        <f t="shared" si="0"/>
        <v/>
      </c>
      <c r="M57" s="140" t="str">
        <f t="shared" si="1"/>
        <v/>
      </c>
    </row>
    <row r="58" spans="1:16" ht="15" customHeight="1" outlineLevel="1" x14ac:dyDescent="0.25">
      <c r="A58" s="122" t="s">
        <v>378</v>
      </c>
      <c r="B58" s="211" t="s">
        <v>375</v>
      </c>
      <c r="C58" s="307" t="s">
        <v>379</v>
      </c>
      <c r="D58" s="308"/>
      <c r="E58" s="113"/>
      <c r="F58" s="115"/>
      <c r="G58" s="116"/>
      <c r="H58" s="116"/>
      <c r="I58" s="153" t="b">
        <v>1</v>
      </c>
      <c r="J58" s="150" t="str">
        <f>IF(B58="ja",A58&amp;" ("&amp;C58&amp;")","")</f>
        <v/>
      </c>
      <c r="L58" s="140" t="str">
        <f>IF(J58="",L57,L57&amp;", "&amp;A58)</f>
        <v/>
      </c>
      <c r="M58" s="140" t="str">
        <f t="shared" si="1"/>
        <v/>
      </c>
    </row>
    <row r="59" spans="1:16" ht="30.75" customHeight="1" outlineLevel="1" thickBot="1" x14ac:dyDescent="0.3">
      <c r="A59" s="122" t="s">
        <v>380</v>
      </c>
      <c r="B59" s="211" t="s">
        <v>375</v>
      </c>
      <c r="C59" s="307" t="s">
        <v>381</v>
      </c>
      <c r="D59" s="308"/>
      <c r="E59" s="43"/>
      <c r="F59" s="115" t="s">
        <v>175</v>
      </c>
      <c r="G59" s="116">
        <v>3</v>
      </c>
      <c r="H59" s="112">
        <f>IF(F59&lt;&gt;"",VLOOKUP(F59,A$15:D$375,2,FALSE),0)</f>
        <v>2</v>
      </c>
      <c r="I59" s="121" t="b">
        <f t="shared" ref="I59" si="12">G59&lt;=H59</f>
        <v>0</v>
      </c>
      <c r="J59" s="150" t="str">
        <f>IF(B59="ja",A59&amp;" ("&amp;C59&amp;")","")</f>
        <v/>
      </c>
      <c r="L59" s="140" t="str">
        <f t="shared" si="0"/>
        <v/>
      </c>
      <c r="M59" s="140" t="str">
        <f t="shared" si="1"/>
        <v/>
      </c>
      <c r="N59" s="139"/>
      <c r="O59" s="29"/>
      <c r="P59" s="29"/>
    </row>
    <row r="60" spans="1:16" ht="15" customHeight="1" outlineLevel="1" x14ac:dyDescent="0.25">
      <c r="A60" s="331" t="s">
        <v>382</v>
      </c>
      <c r="B60" s="211"/>
      <c r="C60" s="307" t="s">
        <v>383</v>
      </c>
      <c r="D60" s="308"/>
      <c r="E60" s="313" t="s">
        <v>376</v>
      </c>
      <c r="F60" s="317"/>
      <c r="G60" s="319"/>
      <c r="H60" s="319"/>
      <c r="I60" s="153" t="b">
        <v>1</v>
      </c>
      <c r="J60" s="301" t="str">
        <f>IF(COUNTA(B60:B66)&gt;0,A60&amp;" in "&amp;RIGHT(N66,LEN(N66)-2)&amp;" ("&amp;C60&amp;")","")</f>
        <v/>
      </c>
      <c r="L60" s="140" t="str">
        <f t="shared" si="0"/>
        <v/>
      </c>
      <c r="M60" s="140" t="str">
        <f t="shared" si="1"/>
        <v/>
      </c>
      <c r="N60" s="141" t="str">
        <f>IF(B60&lt;&gt;"",", "&amp;B60,"")</f>
        <v/>
      </c>
    </row>
    <row r="61" spans="1:16" ht="15" customHeight="1" outlineLevel="1" x14ac:dyDescent="0.25">
      <c r="A61" s="335"/>
      <c r="B61" s="211"/>
      <c r="C61" s="307"/>
      <c r="D61" s="308"/>
      <c r="E61" s="313"/>
      <c r="F61" s="317"/>
      <c r="G61" s="319"/>
      <c r="H61" s="319"/>
      <c r="I61" s="153" t="b">
        <v>1</v>
      </c>
      <c r="J61" s="303"/>
      <c r="L61" s="140" t="str">
        <f t="shared" si="0"/>
        <v/>
      </c>
      <c r="M61" s="140" t="str">
        <f t="shared" si="1"/>
        <v/>
      </c>
      <c r="N61" s="142" t="str">
        <f>IF(B61&lt;&gt;"",N60&amp;", "&amp;B61,N60)</f>
        <v/>
      </c>
    </row>
    <row r="62" spans="1:16" ht="15" customHeight="1" outlineLevel="1" x14ac:dyDescent="0.25">
      <c r="A62" s="335"/>
      <c r="B62" s="211"/>
      <c r="C62" s="307"/>
      <c r="D62" s="308"/>
      <c r="E62" s="313"/>
      <c r="F62" s="317"/>
      <c r="G62" s="319"/>
      <c r="H62" s="319"/>
      <c r="I62" s="153" t="b">
        <v>1</v>
      </c>
      <c r="J62" s="303"/>
      <c r="L62" s="140" t="str">
        <f t="shared" si="0"/>
        <v/>
      </c>
      <c r="M62" s="140" t="str">
        <f t="shared" si="1"/>
        <v/>
      </c>
      <c r="N62" s="142" t="str">
        <f t="shared" ref="N62:N66" si="13">IF(B62&lt;&gt;"",N61&amp;", "&amp;B62,N61)</f>
        <v/>
      </c>
    </row>
    <row r="63" spans="1:16" ht="15" customHeight="1" outlineLevel="1" x14ac:dyDescent="0.25">
      <c r="A63" s="335"/>
      <c r="B63" s="211"/>
      <c r="C63" s="307"/>
      <c r="D63" s="308"/>
      <c r="E63" s="313"/>
      <c r="F63" s="317"/>
      <c r="G63" s="319"/>
      <c r="H63" s="319"/>
      <c r="I63" s="153" t="b">
        <v>1</v>
      </c>
      <c r="J63" s="303"/>
      <c r="L63" s="140" t="str">
        <f t="shared" si="0"/>
        <v/>
      </c>
      <c r="M63" s="140" t="str">
        <f t="shared" si="1"/>
        <v/>
      </c>
      <c r="N63" s="142" t="str">
        <f t="shared" si="13"/>
        <v/>
      </c>
    </row>
    <row r="64" spans="1:16" ht="15" customHeight="1" outlineLevel="1" x14ac:dyDescent="0.25">
      <c r="A64" s="335"/>
      <c r="B64" s="211"/>
      <c r="C64" s="307" t="s">
        <v>594</v>
      </c>
      <c r="D64" s="308"/>
      <c r="E64" s="313"/>
      <c r="F64" s="317"/>
      <c r="G64" s="319"/>
      <c r="H64" s="319"/>
      <c r="I64" s="153" t="b">
        <v>1</v>
      </c>
      <c r="J64" s="303"/>
      <c r="L64" s="140" t="str">
        <f t="shared" si="0"/>
        <v/>
      </c>
      <c r="M64" s="140" t="str">
        <f t="shared" si="1"/>
        <v/>
      </c>
      <c r="N64" s="142" t="str">
        <f t="shared" si="13"/>
        <v/>
      </c>
    </row>
    <row r="65" spans="1:16" ht="15" customHeight="1" outlineLevel="1" x14ac:dyDescent="0.25">
      <c r="A65" s="335"/>
      <c r="B65" s="211"/>
      <c r="C65" s="307"/>
      <c r="D65" s="308"/>
      <c r="E65" s="313"/>
      <c r="F65" s="317"/>
      <c r="G65" s="319"/>
      <c r="H65" s="319"/>
      <c r="I65" s="153" t="b">
        <v>1</v>
      </c>
      <c r="J65" s="303"/>
      <c r="L65" s="140" t="str">
        <f t="shared" si="0"/>
        <v/>
      </c>
      <c r="M65" s="140" t="str">
        <f t="shared" si="1"/>
        <v/>
      </c>
      <c r="N65" s="142" t="str">
        <f t="shared" si="13"/>
        <v/>
      </c>
    </row>
    <row r="66" spans="1:16" ht="15" customHeight="1" outlineLevel="1" thickBot="1" x14ac:dyDescent="0.3">
      <c r="A66" s="332"/>
      <c r="B66" s="211"/>
      <c r="C66" s="307"/>
      <c r="D66" s="308"/>
      <c r="E66" s="313"/>
      <c r="F66" s="317"/>
      <c r="G66" s="319"/>
      <c r="H66" s="319"/>
      <c r="I66" s="153" t="b">
        <v>1</v>
      </c>
      <c r="J66" s="302"/>
      <c r="L66" s="140" t="str">
        <f t="shared" si="0"/>
        <v/>
      </c>
      <c r="M66" s="140" t="str">
        <f t="shared" si="1"/>
        <v/>
      </c>
      <c r="N66" s="143" t="str">
        <f t="shared" si="13"/>
        <v/>
      </c>
    </row>
    <row r="67" spans="1:16" ht="30.75" customHeight="1" outlineLevel="1" x14ac:dyDescent="0.25">
      <c r="A67" s="122" t="s">
        <v>384</v>
      </c>
      <c r="B67" s="211" t="s">
        <v>375</v>
      </c>
      <c r="C67" s="307" t="s">
        <v>385</v>
      </c>
      <c r="D67" s="308"/>
      <c r="E67" s="43"/>
      <c r="F67" s="115"/>
      <c r="G67" s="116"/>
      <c r="H67" s="155"/>
      <c r="I67" s="153" t="b">
        <v>1</v>
      </c>
      <c r="J67" s="150" t="str">
        <f>IF(B67="ja",A67&amp;" ("&amp;C67&amp;")","")</f>
        <v/>
      </c>
      <c r="L67" s="140" t="str">
        <f t="shared" si="0"/>
        <v/>
      </c>
      <c r="M67" s="140" t="str">
        <f t="shared" si="1"/>
        <v/>
      </c>
      <c r="N67" s="139"/>
      <c r="O67" s="29"/>
      <c r="P67" s="29"/>
    </row>
    <row r="68" spans="1:16" ht="45" customHeight="1" outlineLevel="1" x14ac:dyDescent="0.25">
      <c r="A68" s="122" t="s">
        <v>386</v>
      </c>
      <c r="B68" s="211" t="s">
        <v>375</v>
      </c>
      <c r="C68" s="314" t="s">
        <v>388</v>
      </c>
      <c r="D68" s="308"/>
      <c r="E68" s="43"/>
      <c r="F68" s="115"/>
      <c r="G68" s="116"/>
      <c r="H68" s="155"/>
      <c r="I68" s="153" t="b">
        <v>1</v>
      </c>
      <c r="J68" s="150" t="str">
        <f>IF(B68="ja",A68&amp;" ("&amp;C68&amp;")","")</f>
        <v/>
      </c>
      <c r="L68" s="140" t="str">
        <f t="shared" si="0"/>
        <v/>
      </c>
      <c r="M68" s="140" t="str">
        <f t="shared" si="1"/>
        <v/>
      </c>
      <c r="N68" s="139"/>
      <c r="O68" s="29"/>
      <c r="P68" s="29"/>
    </row>
    <row r="69" spans="1:16" ht="30.75" customHeight="1" outlineLevel="1" x14ac:dyDescent="0.25">
      <c r="A69" s="122" t="s">
        <v>387</v>
      </c>
      <c r="B69" s="211" t="s">
        <v>375</v>
      </c>
      <c r="C69" s="314" t="s">
        <v>389</v>
      </c>
      <c r="D69" s="308"/>
      <c r="E69" s="43"/>
      <c r="F69" s="115"/>
      <c r="G69" s="116"/>
      <c r="H69" s="155"/>
      <c r="I69" s="153" t="b">
        <v>1</v>
      </c>
      <c r="J69" s="150" t="str">
        <f>IF(B69="ja",A69&amp;" ("&amp;C69&amp;")","")</f>
        <v/>
      </c>
      <c r="L69" s="140" t="str">
        <f t="shared" si="0"/>
        <v/>
      </c>
      <c r="M69" s="140" t="str">
        <f t="shared" si="1"/>
        <v/>
      </c>
      <c r="N69" s="139"/>
      <c r="O69" s="29"/>
      <c r="P69" s="29"/>
    </row>
    <row r="70" spans="1:16" ht="30.75" customHeight="1" outlineLevel="1" x14ac:dyDescent="0.25">
      <c r="A70" s="342" t="s">
        <v>904</v>
      </c>
      <c r="B70" s="330" t="s">
        <v>375</v>
      </c>
      <c r="C70" s="308" t="s">
        <v>905</v>
      </c>
      <c r="D70" s="308"/>
      <c r="E70" s="227"/>
      <c r="F70" s="115" t="s">
        <v>170</v>
      </c>
      <c r="G70" s="225">
        <v>4</v>
      </c>
      <c r="H70" s="112">
        <f>IF(F70&lt;&gt;"",VLOOKUP(F70,A$15:D$375,2,FALSE),0)</f>
        <v>2</v>
      </c>
      <c r="I70" s="320" t="b">
        <f>AND(G70&lt;=H70,G71&lt;=H70)</f>
        <v>0</v>
      </c>
      <c r="J70" s="301" t="str">
        <f>IF(B70="ja",A70&amp;" ("&amp;C70&amp;")","")</f>
        <v/>
      </c>
      <c r="L70" s="140" t="str">
        <f t="shared" ref="L70:L73" si="14">IF(J70="",L69,L69&amp;", "&amp;A70)</f>
        <v/>
      </c>
      <c r="M70" s="140" t="str">
        <f t="shared" ref="M70:M73" si="15">IF(J70="",M69,M69&amp;", "&amp;J70)</f>
        <v/>
      </c>
      <c r="O70" s="29"/>
      <c r="P70" s="29"/>
    </row>
    <row r="71" spans="1:16" outlineLevel="1" x14ac:dyDescent="0.25">
      <c r="A71" s="343"/>
      <c r="B71" s="330"/>
      <c r="C71" s="308"/>
      <c r="D71" s="308"/>
      <c r="E71" s="227"/>
      <c r="F71" s="115" t="s">
        <v>95</v>
      </c>
      <c r="G71" s="225">
        <v>3</v>
      </c>
      <c r="H71" s="112">
        <f>IF(F71&lt;&gt;"",VLOOKUP(F71,A$15:D$375,2,FALSE),0)</f>
        <v>2</v>
      </c>
      <c r="I71" s="321"/>
      <c r="J71" s="302"/>
      <c r="L71" s="140" t="str">
        <f t="shared" si="14"/>
        <v/>
      </c>
      <c r="M71" s="140" t="str">
        <f t="shared" si="15"/>
        <v/>
      </c>
    </row>
    <row r="72" spans="1:16" ht="30.75" customHeight="1" outlineLevel="1" x14ac:dyDescent="0.25">
      <c r="A72" s="340" t="s">
        <v>390</v>
      </c>
      <c r="B72" s="330" t="s">
        <v>375</v>
      </c>
      <c r="C72" s="308" t="s">
        <v>391</v>
      </c>
      <c r="D72" s="308"/>
      <c r="E72" s="43"/>
      <c r="F72" s="115" t="s">
        <v>171</v>
      </c>
      <c r="G72" s="116">
        <v>4</v>
      </c>
      <c r="H72" s="112">
        <f>IF(F72&lt;&gt;"",VLOOKUP(F72,A$15:D$375,2,FALSE),0)</f>
        <v>2</v>
      </c>
      <c r="I72" s="320" t="b">
        <f>AND(G72&lt;=H72,G73&lt;=H72)</f>
        <v>0</v>
      </c>
      <c r="J72" s="301" t="str">
        <f>IF(B72="ja",A72&amp;" ("&amp;C72&amp;")","")</f>
        <v/>
      </c>
      <c r="L72" s="140" t="str">
        <f t="shared" si="14"/>
        <v/>
      </c>
      <c r="M72" s="140" t="str">
        <f t="shared" si="15"/>
        <v/>
      </c>
      <c r="O72" s="29"/>
      <c r="P72" s="29"/>
    </row>
    <row r="73" spans="1:16" outlineLevel="1" x14ac:dyDescent="0.25">
      <c r="A73" s="341"/>
      <c r="B73" s="330"/>
      <c r="C73" s="308"/>
      <c r="D73" s="308"/>
      <c r="E73" s="43"/>
      <c r="F73" s="115" t="s">
        <v>212</v>
      </c>
      <c r="G73" s="116">
        <v>1</v>
      </c>
      <c r="H73" s="112">
        <f>IF(F73&lt;&gt;"",VLOOKUP(F73,A$15:D$375,2,FALSE),0)</f>
        <v>0</v>
      </c>
      <c r="I73" s="321"/>
      <c r="J73" s="302"/>
      <c r="L73" s="140" t="str">
        <f t="shared" si="14"/>
        <v/>
      </c>
      <c r="M73" s="140" t="str">
        <f t="shared" si="15"/>
        <v/>
      </c>
    </row>
    <row r="74" spans="1:16" ht="30" customHeight="1" outlineLevel="1" x14ac:dyDescent="0.25">
      <c r="A74" s="122" t="s">
        <v>392</v>
      </c>
      <c r="B74" s="211" t="s">
        <v>375</v>
      </c>
      <c r="C74" s="307" t="s">
        <v>393</v>
      </c>
      <c r="D74" s="308"/>
      <c r="E74" s="113"/>
      <c r="F74" s="115"/>
      <c r="G74" s="116"/>
      <c r="H74" s="116"/>
      <c r="I74" s="153" t="b">
        <v>1</v>
      </c>
      <c r="J74" s="150" t="str">
        <f>IF(B74="ja",A74&amp;" ("&amp;C74&amp;")","")</f>
        <v/>
      </c>
      <c r="L74" s="140" t="str">
        <f t="shared" si="0"/>
        <v/>
      </c>
      <c r="M74" s="140" t="str">
        <f t="shared" si="1"/>
        <v/>
      </c>
    </row>
    <row r="75" spans="1:16" ht="15" customHeight="1" outlineLevel="1" thickBot="1" x14ac:dyDescent="0.3">
      <c r="A75" s="123" t="s">
        <v>394</v>
      </c>
      <c r="B75" s="162"/>
      <c r="C75" s="308" t="s">
        <v>395</v>
      </c>
      <c r="D75" s="308"/>
      <c r="E75" s="313" t="s">
        <v>376</v>
      </c>
      <c r="F75" s="317" t="s">
        <v>95</v>
      </c>
      <c r="G75" s="309">
        <v>4</v>
      </c>
      <c r="H75" s="310">
        <f>IF(F75&lt;&gt;"",VLOOKUP(F75,A$15:D$375,2,FALSE),0)</f>
        <v>2</v>
      </c>
      <c r="I75" s="152" t="b">
        <f>G75&lt;=H75</f>
        <v>0</v>
      </c>
      <c r="J75" s="301" t="str">
        <f>IF(COUNTIF(B76:B85,"ja")&gt;0,A75&amp;" in "&amp;RIGHT(N81,LEN(N81)-2)&amp;" ("&amp;C75&amp;")","")</f>
        <v/>
      </c>
      <c r="L75" s="140" t="str">
        <f t="shared" si="0"/>
        <v/>
      </c>
      <c r="M75" s="140" t="str">
        <f t="shared" si="1"/>
        <v/>
      </c>
    </row>
    <row r="76" spans="1:16" ht="15" customHeight="1" outlineLevel="1" x14ac:dyDescent="0.25">
      <c r="A76" s="156" t="s">
        <v>570</v>
      </c>
      <c r="B76" s="211" t="s">
        <v>375</v>
      </c>
      <c r="C76" s="307"/>
      <c r="D76" s="308"/>
      <c r="E76" s="313"/>
      <c r="F76" s="317"/>
      <c r="G76" s="309"/>
      <c r="H76" s="311"/>
      <c r="I76" s="157" t="b">
        <f>I75</f>
        <v>0</v>
      </c>
      <c r="J76" s="303"/>
      <c r="K76" s="136" t="s">
        <v>579</v>
      </c>
      <c r="L76" s="140" t="str">
        <f t="shared" si="0"/>
        <v/>
      </c>
      <c r="M76" s="140" t="str">
        <f t="shared" si="1"/>
        <v/>
      </c>
      <c r="N76" s="141" t="str">
        <f>IF(B76="ja",", "&amp;A76,"")</f>
        <v/>
      </c>
    </row>
    <row r="77" spans="1:16" ht="15" customHeight="1" outlineLevel="1" x14ac:dyDescent="0.25">
      <c r="A77" s="156" t="s">
        <v>571</v>
      </c>
      <c r="B77" s="211" t="s">
        <v>375</v>
      </c>
      <c r="C77" s="307"/>
      <c r="D77" s="308"/>
      <c r="E77" s="313"/>
      <c r="F77" s="317"/>
      <c r="G77" s="309"/>
      <c r="H77" s="311"/>
      <c r="I77" s="157" t="b">
        <f>I76</f>
        <v>0</v>
      </c>
      <c r="J77" s="303"/>
      <c r="K77" s="136" t="s">
        <v>579</v>
      </c>
      <c r="L77" s="140" t="str">
        <f t="shared" si="0"/>
        <v/>
      </c>
      <c r="M77" s="140" t="str">
        <f t="shared" si="1"/>
        <v/>
      </c>
      <c r="N77" s="142" t="str">
        <f>IF(B77="ja",N76&amp;", "&amp;A77,N76)</f>
        <v/>
      </c>
    </row>
    <row r="78" spans="1:16" ht="15" customHeight="1" outlineLevel="1" x14ac:dyDescent="0.25">
      <c r="A78" s="156" t="s">
        <v>572</v>
      </c>
      <c r="B78" s="211" t="s">
        <v>375</v>
      </c>
      <c r="C78" s="307"/>
      <c r="D78" s="308"/>
      <c r="E78" s="313"/>
      <c r="F78" s="317"/>
      <c r="G78" s="309"/>
      <c r="H78" s="311"/>
      <c r="I78" s="157" t="b">
        <f t="shared" ref="I78:I85" si="16">I77</f>
        <v>0</v>
      </c>
      <c r="J78" s="303"/>
      <c r="K78" s="136" t="s">
        <v>579</v>
      </c>
      <c r="L78" s="140" t="str">
        <f t="shared" si="0"/>
        <v/>
      </c>
      <c r="M78" s="140" t="str">
        <f t="shared" si="1"/>
        <v/>
      </c>
      <c r="N78" s="142" t="str">
        <f t="shared" ref="N78:N85" si="17">IF(B78="ja",N77&amp;", "&amp;A78,N77)</f>
        <v/>
      </c>
    </row>
    <row r="79" spans="1:16" ht="15" customHeight="1" outlineLevel="1" x14ac:dyDescent="0.25">
      <c r="A79" s="156" t="s">
        <v>573</v>
      </c>
      <c r="B79" s="211" t="s">
        <v>375</v>
      </c>
      <c r="C79" s="307"/>
      <c r="D79" s="308"/>
      <c r="E79" s="313"/>
      <c r="F79" s="317"/>
      <c r="G79" s="309"/>
      <c r="H79" s="311"/>
      <c r="I79" s="157" t="b">
        <f t="shared" si="16"/>
        <v>0</v>
      </c>
      <c r="J79" s="303"/>
      <c r="K79" s="136" t="s">
        <v>579</v>
      </c>
      <c r="L79" s="140" t="str">
        <f t="shared" si="0"/>
        <v/>
      </c>
      <c r="M79" s="140" t="str">
        <f t="shared" si="1"/>
        <v/>
      </c>
      <c r="N79" s="142" t="str">
        <f t="shared" si="17"/>
        <v/>
      </c>
    </row>
    <row r="80" spans="1:16" ht="15" customHeight="1" outlineLevel="1" x14ac:dyDescent="0.25">
      <c r="A80" s="156" t="s">
        <v>574</v>
      </c>
      <c r="B80" s="211" t="s">
        <v>375</v>
      </c>
      <c r="C80" s="307"/>
      <c r="D80" s="308"/>
      <c r="E80" s="313"/>
      <c r="F80" s="317"/>
      <c r="G80" s="309"/>
      <c r="H80" s="311"/>
      <c r="I80" s="157" t="b">
        <f t="shared" si="16"/>
        <v>0</v>
      </c>
      <c r="J80" s="303"/>
      <c r="K80" s="136" t="s">
        <v>579</v>
      </c>
      <c r="L80" s="140" t="str">
        <f t="shared" si="0"/>
        <v/>
      </c>
      <c r="M80" s="140" t="str">
        <f t="shared" si="1"/>
        <v/>
      </c>
      <c r="N80" s="142" t="str">
        <f t="shared" si="17"/>
        <v/>
      </c>
    </row>
    <row r="81" spans="1:16" ht="15" customHeight="1" outlineLevel="1" x14ac:dyDescent="0.25">
      <c r="A81" s="156" t="s">
        <v>367</v>
      </c>
      <c r="B81" s="211" t="s">
        <v>375</v>
      </c>
      <c r="C81" s="307"/>
      <c r="D81" s="308"/>
      <c r="E81" s="313"/>
      <c r="F81" s="317"/>
      <c r="G81" s="309"/>
      <c r="H81" s="311"/>
      <c r="I81" s="157" t="b">
        <f t="shared" si="16"/>
        <v>0</v>
      </c>
      <c r="J81" s="303"/>
      <c r="K81" s="136" t="s">
        <v>579</v>
      </c>
      <c r="L81" s="140" t="str">
        <f t="shared" si="0"/>
        <v/>
      </c>
      <c r="M81" s="140" t="str">
        <f t="shared" si="1"/>
        <v/>
      </c>
      <c r="N81" s="142" t="str">
        <f t="shared" si="17"/>
        <v/>
      </c>
    </row>
    <row r="82" spans="1:16" ht="15" customHeight="1" outlineLevel="1" x14ac:dyDescent="0.25">
      <c r="A82" s="156" t="s">
        <v>575</v>
      </c>
      <c r="B82" s="211" t="s">
        <v>375</v>
      </c>
      <c r="C82" s="307"/>
      <c r="D82" s="308"/>
      <c r="E82" s="313"/>
      <c r="F82" s="317"/>
      <c r="G82" s="309"/>
      <c r="H82" s="311"/>
      <c r="I82" s="157" t="b">
        <f t="shared" si="16"/>
        <v>0</v>
      </c>
      <c r="J82" s="303"/>
      <c r="K82" s="136" t="s">
        <v>579</v>
      </c>
      <c r="L82" s="140" t="str">
        <f t="shared" si="0"/>
        <v/>
      </c>
      <c r="M82" s="140" t="str">
        <f t="shared" si="1"/>
        <v/>
      </c>
      <c r="N82" s="142" t="str">
        <f t="shared" si="17"/>
        <v/>
      </c>
    </row>
    <row r="83" spans="1:16" ht="15" customHeight="1" outlineLevel="1" x14ac:dyDescent="0.25">
      <c r="A83" s="156" t="s">
        <v>576</v>
      </c>
      <c r="B83" s="211" t="s">
        <v>375</v>
      </c>
      <c r="C83" s="307"/>
      <c r="D83" s="308"/>
      <c r="E83" s="313"/>
      <c r="F83" s="317"/>
      <c r="G83" s="309"/>
      <c r="H83" s="311"/>
      <c r="I83" s="157" t="b">
        <f t="shared" si="16"/>
        <v>0</v>
      </c>
      <c r="J83" s="303"/>
      <c r="K83" s="136" t="s">
        <v>579</v>
      </c>
      <c r="L83" s="140" t="str">
        <f t="shared" ref="L83:L148" si="18">IF(J83="",L82,L82&amp;", "&amp;A83)</f>
        <v/>
      </c>
      <c r="M83" s="140" t="str">
        <f t="shared" si="1"/>
        <v/>
      </c>
      <c r="N83" s="142" t="str">
        <f t="shared" si="17"/>
        <v/>
      </c>
    </row>
    <row r="84" spans="1:16" ht="15" customHeight="1" outlineLevel="1" x14ac:dyDescent="0.25">
      <c r="A84" s="156" t="s">
        <v>577</v>
      </c>
      <c r="B84" s="211" t="s">
        <v>375</v>
      </c>
      <c r="C84" s="307"/>
      <c r="D84" s="308"/>
      <c r="E84" s="313"/>
      <c r="F84" s="317"/>
      <c r="G84" s="309"/>
      <c r="H84" s="311"/>
      <c r="I84" s="157" t="b">
        <f t="shared" si="16"/>
        <v>0</v>
      </c>
      <c r="J84" s="303"/>
      <c r="K84" s="136" t="s">
        <v>579</v>
      </c>
      <c r="L84" s="140" t="str">
        <f t="shared" si="18"/>
        <v/>
      </c>
      <c r="M84" s="140" t="str">
        <f t="shared" si="1"/>
        <v/>
      </c>
      <c r="N84" s="142" t="str">
        <f t="shared" si="17"/>
        <v/>
      </c>
    </row>
    <row r="85" spans="1:16" ht="15" customHeight="1" outlineLevel="1" thickBot="1" x14ac:dyDescent="0.3">
      <c r="A85" s="158" t="s">
        <v>578</v>
      </c>
      <c r="B85" s="211" t="s">
        <v>375</v>
      </c>
      <c r="C85" s="307"/>
      <c r="D85" s="308"/>
      <c r="E85" s="313"/>
      <c r="F85" s="317"/>
      <c r="G85" s="309"/>
      <c r="H85" s="312"/>
      <c r="I85" s="157" t="b">
        <f t="shared" si="16"/>
        <v>0</v>
      </c>
      <c r="J85" s="302"/>
      <c r="K85" s="136" t="s">
        <v>579</v>
      </c>
      <c r="L85" s="140" t="str">
        <f t="shared" si="18"/>
        <v/>
      </c>
      <c r="M85" s="140" t="str">
        <f t="shared" ref="M85:M150" si="19">IF(J85="",M84,M84&amp;", "&amp;J85)</f>
        <v/>
      </c>
      <c r="N85" s="143" t="str">
        <f t="shared" si="17"/>
        <v/>
      </c>
    </row>
    <row r="86" spans="1:16" ht="45.75" customHeight="1" outlineLevel="1" x14ac:dyDescent="0.25">
      <c r="A86" s="132" t="s">
        <v>396</v>
      </c>
      <c r="B86" s="211" t="s">
        <v>375</v>
      </c>
      <c r="C86" s="307" t="s">
        <v>398</v>
      </c>
      <c r="D86" s="308"/>
      <c r="E86" s="43"/>
      <c r="F86" s="115" t="s">
        <v>169</v>
      </c>
      <c r="G86" s="116">
        <v>4</v>
      </c>
      <c r="H86" s="112">
        <f>IF(F86&lt;&gt;"",VLOOKUP(F86,A$15:D$375,2,FALSE),0)</f>
        <v>2</v>
      </c>
      <c r="I86" s="121" t="b">
        <f t="shared" ref="I86" si="20">G86&lt;=H86</f>
        <v>0</v>
      </c>
      <c r="J86" s="150" t="str">
        <f>IF(B86="ja",A86&amp;" ("&amp;C86&amp;")","")</f>
        <v/>
      </c>
      <c r="L86" s="140" t="str">
        <f t="shared" si="18"/>
        <v/>
      </c>
      <c r="M86" s="140" t="str">
        <f t="shared" si="19"/>
        <v/>
      </c>
      <c r="N86" s="139"/>
      <c r="O86" s="29"/>
      <c r="P86" s="29"/>
    </row>
    <row r="87" spans="1:16" ht="45" customHeight="1" outlineLevel="1" x14ac:dyDescent="0.25">
      <c r="A87" s="327" t="s">
        <v>397</v>
      </c>
      <c r="B87" s="330" t="s">
        <v>375</v>
      </c>
      <c r="C87" s="308" t="s">
        <v>399</v>
      </c>
      <c r="D87" s="308"/>
      <c r="E87" s="43"/>
      <c r="F87" s="115" t="s">
        <v>28</v>
      </c>
      <c r="G87" s="116">
        <v>3</v>
      </c>
      <c r="H87" s="112">
        <f>IF(F87&lt;&gt;"",VLOOKUP(F87,A$15:D$375,2,FALSE),0)</f>
        <v>2</v>
      </c>
      <c r="I87" s="320" t="b">
        <f>AND(G87&lt;=H87,G88&lt;=H88)</f>
        <v>0</v>
      </c>
      <c r="J87" s="301" t="str">
        <f>IF(B87="ja",A87&amp;" ("&amp;C87&amp;")","")</f>
        <v/>
      </c>
      <c r="L87" s="140" t="str">
        <f t="shared" si="18"/>
        <v/>
      </c>
      <c r="M87" s="140" t="str">
        <f t="shared" si="19"/>
        <v/>
      </c>
    </row>
    <row r="88" spans="1:16" ht="45" customHeight="1" outlineLevel="1" x14ac:dyDescent="0.25">
      <c r="A88" s="329"/>
      <c r="B88" s="330"/>
      <c r="C88" s="308"/>
      <c r="D88" s="308"/>
      <c r="E88" s="43"/>
      <c r="F88" s="115" t="s">
        <v>220</v>
      </c>
      <c r="G88" s="116">
        <v>1</v>
      </c>
      <c r="H88" s="112">
        <f>IF(F88&lt;&gt;"",VLOOKUP(F88,A$15:D$375,2,FALSE),0)</f>
        <v>0</v>
      </c>
      <c r="I88" s="321"/>
      <c r="J88" s="302"/>
      <c r="L88" s="140" t="str">
        <f t="shared" si="18"/>
        <v/>
      </c>
      <c r="M88" s="140" t="str">
        <f t="shared" si="19"/>
        <v/>
      </c>
    </row>
    <row r="89" spans="1:16" ht="15" customHeight="1" x14ac:dyDescent="0.25">
      <c r="A89" s="159" t="s">
        <v>292</v>
      </c>
      <c r="B89" s="151"/>
      <c r="C89" s="17"/>
      <c r="D89" s="17"/>
      <c r="E89" s="113"/>
      <c r="F89" s="115"/>
      <c r="G89" s="116"/>
      <c r="H89" s="116"/>
      <c r="I89" s="153"/>
      <c r="J89" s="134"/>
      <c r="L89" s="140" t="str">
        <f t="shared" si="18"/>
        <v/>
      </c>
      <c r="M89" s="140" t="str">
        <f t="shared" si="19"/>
        <v/>
      </c>
    </row>
    <row r="90" spans="1:16" ht="30.75" customHeight="1" outlineLevel="1" x14ac:dyDescent="0.25">
      <c r="A90" s="122" t="s">
        <v>400</v>
      </c>
      <c r="B90" s="211" t="s">
        <v>375</v>
      </c>
      <c r="C90" s="314" t="s">
        <v>401</v>
      </c>
      <c r="D90" s="308"/>
      <c r="E90" s="43"/>
      <c r="F90" s="115"/>
      <c r="G90" s="116"/>
      <c r="H90" s="155"/>
      <c r="I90" s="153" t="b">
        <v>1</v>
      </c>
      <c r="J90" s="150" t="str">
        <f t="shared" ref="J90:J92" si="21">IF(B90="ja",A90&amp;" ("&amp;C90&amp;")","")</f>
        <v/>
      </c>
      <c r="L90" s="140" t="str">
        <f t="shared" si="18"/>
        <v/>
      </c>
      <c r="M90" s="140" t="str">
        <f t="shared" si="19"/>
        <v/>
      </c>
      <c r="N90" s="139"/>
      <c r="O90" s="29"/>
      <c r="P90" s="29"/>
    </row>
    <row r="91" spans="1:16" ht="32.25" customHeight="1" outlineLevel="1" x14ac:dyDescent="0.25">
      <c r="A91" s="122" t="s">
        <v>402</v>
      </c>
      <c r="B91" s="211" t="s">
        <v>375</v>
      </c>
      <c r="C91" s="307" t="s">
        <v>429</v>
      </c>
      <c r="D91" s="308"/>
      <c r="E91" s="43"/>
      <c r="F91" s="115" t="s">
        <v>403</v>
      </c>
      <c r="G91" s="116">
        <v>1</v>
      </c>
      <c r="H91" s="112">
        <f>IF(F91&lt;&gt;"",VLOOKUP(F91,A$15:D$375,2,FALSE),0)</f>
        <v>0</v>
      </c>
      <c r="I91" s="121" t="b">
        <f t="shared" ref="I91" si="22">G91&lt;=H91</f>
        <v>0</v>
      </c>
      <c r="J91" s="150" t="str">
        <f t="shared" si="21"/>
        <v/>
      </c>
      <c r="L91" s="140" t="str">
        <f t="shared" si="18"/>
        <v/>
      </c>
      <c r="M91" s="140" t="str">
        <f t="shared" si="19"/>
        <v/>
      </c>
      <c r="N91" s="139"/>
      <c r="O91" s="29"/>
      <c r="P91" s="29"/>
    </row>
    <row r="92" spans="1:16" ht="46.5" customHeight="1" outlineLevel="1" x14ac:dyDescent="0.25">
      <c r="A92" s="122" t="s">
        <v>405</v>
      </c>
      <c r="B92" s="211" t="s">
        <v>375</v>
      </c>
      <c r="C92" s="314" t="s">
        <v>404</v>
      </c>
      <c r="D92" s="308"/>
      <c r="E92" s="43"/>
      <c r="F92" s="115"/>
      <c r="G92" s="116"/>
      <c r="H92" s="155"/>
      <c r="I92" s="153" t="b">
        <v>1</v>
      </c>
      <c r="J92" s="150" t="str">
        <f t="shared" si="21"/>
        <v/>
      </c>
      <c r="L92" s="140" t="str">
        <f t="shared" si="18"/>
        <v/>
      </c>
      <c r="M92" s="140" t="str">
        <f t="shared" si="19"/>
        <v/>
      </c>
      <c r="N92" s="139"/>
      <c r="O92" s="29"/>
      <c r="P92" s="29"/>
    </row>
    <row r="93" spans="1:16" ht="15" customHeight="1" outlineLevel="1" thickBot="1" x14ac:dyDescent="0.3">
      <c r="A93" s="130" t="s">
        <v>403</v>
      </c>
      <c r="B93" s="161"/>
      <c r="C93" s="308" t="s">
        <v>406</v>
      </c>
      <c r="D93" s="308"/>
      <c r="E93" s="313" t="s">
        <v>376</v>
      </c>
      <c r="F93" s="317" t="s">
        <v>175</v>
      </c>
      <c r="G93" s="309">
        <v>3</v>
      </c>
      <c r="H93" s="310">
        <f>IF(F93&lt;&gt;"",VLOOKUP(F93,A$15:D$375,2,FALSE),0)</f>
        <v>2</v>
      </c>
      <c r="I93" s="121" t="b">
        <f t="shared" ref="I93:I101" si="23">G93&lt;=H93</f>
        <v>0</v>
      </c>
      <c r="J93" s="301" t="str">
        <f>IF(COUNTIF(B94:B99,"ja")&gt;0,A93&amp;" in "&amp;RIGHT(N99,LEN(N99)-2)&amp;" ("&amp;C93&amp;")","")</f>
        <v/>
      </c>
      <c r="L93" s="140" t="str">
        <f t="shared" si="18"/>
        <v/>
      </c>
      <c r="M93" s="140" t="str">
        <f t="shared" si="19"/>
        <v/>
      </c>
    </row>
    <row r="94" spans="1:16" ht="15" customHeight="1" outlineLevel="1" x14ac:dyDescent="0.25">
      <c r="A94" s="163" t="str">
        <f>'_Tabellen und Listen'!B253</f>
        <v>Aufstacheln</v>
      </c>
      <c r="B94" s="211" t="s">
        <v>375</v>
      </c>
      <c r="C94" s="307"/>
      <c r="D94" s="308"/>
      <c r="E94" s="313"/>
      <c r="F94" s="317"/>
      <c r="G94" s="309"/>
      <c r="H94" s="311"/>
      <c r="I94" s="121" t="b">
        <f>I93</f>
        <v>0</v>
      </c>
      <c r="J94" s="303"/>
      <c r="K94" s="136" t="s">
        <v>579</v>
      </c>
      <c r="L94" s="140" t="str">
        <f t="shared" si="18"/>
        <v/>
      </c>
      <c r="M94" s="140" t="str">
        <f t="shared" si="19"/>
        <v/>
      </c>
      <c r="N94" s="141" t="str">
        <f>IF(B94="ja",", "&amp;A94,"")</f>
        <v/>
      </c>
    </row>
    <row r="95" spans="1:16" ht="15" customHeight="1" outlineLevel="1" x14ac:dyDescent="0.25">
      <c r="A95" s="163" t="str">
        <f>'_Tabellen und Listen'!B254</f>
        <v>Einschüchtern</v>
      </c>
      <c r="B95" s="211" t="s">
        <v>375</v>
      </c>
      <c r="C95" s="307"/>
      <c r="D95" s="308"/>
      <c r="E95" s="313"/>
      <c r="F95" s="317"/>
      <c r="G95" s="309"/>
      <c r="H95" s="311"/>
      <c r="I95" s="121" t="b">
        <f t="shared" ref="I95:I100" si="24">I94</f>
        <v>0</v>
      </c>
      <c r="J95" s="303"/>
      <c r="K95" s="136" t="s">
        <v>579</v>
      </c>
      <c r="L95" s="140" t="str">
        <f t="shared" si="18"/>
        <v/>
      </c>
      <c r="M95" s="140" t="str">
        <f t="shared" si="19"/>
        <v/>
      </c>
      <c r="N95" s="142" t="str">
        <f>IF(B95="ja",N94&amp;", "&amp;A95,N94)</f>
        <v/>
      </c>
    </row>
    <row r="96" spans="1:16" ht="15" customHeight="1" outlineLevel="1" x14ac:dyDescent="0.25">
      <c r="A96" s="163" t="str">
        <f>'_Tabellen und Listen'!B255</f>
        <v>Feilschen</v>
      </c>
      <c r="B96" s="211" t="s">
        <v>375</v>
      </c>
      <c r="C96" s="307"/>
      <c r="D96" s="308"/>
      <c r="E96" s="313"/>
      <c r="F96" s="317"/>
      <c r="G96" s="309"/>
      <c r="H96" s="311"/>
      <c r="I96" s="121" t="b">
        <f t="shared" si="24"/>
        <v>0</v>
      </c>
      <c r="J96" s="303"/>
      <c r="K96" s="136" t="s">
        <v>579</v>
      </c>
      <c r="L96" s="140" t="str">
        <f t="shared" si="18"/>
        <v/>
      </c>
      <c r="M96" s="140" t="str">
        <f t="shared" si="19"/>
        <v/>
      </c>
      <c r="N96" s="142" t="str">
        <f t="shared" ref="N96:N100" si="25">IF(B96="ja",N95&amp;", "&amp;A96,N95)</f>
        <v/>
      </c>
    </row>
    <row r="97" spans="1:16" ht="15" customHeight="1" outlineLevel="1" x14ac:dyDescent="0.25">
      <c r="A97" s="163" t="str">
        <f>'_Tabellen und Listen'!B256</f>
        <v>Schmeicheln</v>
      </c>
      <c r="B97" s="211" t="s">
        <v>375</v>
      </c>
      <c r="C97" s="307"/>
      <c r="D97" s="308"/>
      <c r="E97" s="313"/>
      <c r="F97" s="317"/>
      <c r="G97" s="309"/>
      <c r="H97" s="311"/>
      <c r="I97" s="121" t="b">
        <f t="shared" si="24"/>
        <v>0</v>
      </c>
      <c r="J97" s="303"/>
      <c r="K97" s="136" t="s">
        <v>579</v>
      </c>
      <c r="L97" s="140" t="str">
        <f t="shared" si="18"/>
        <v/>
      </c>
      <c r="M97" s="140" t="str">
        <f t="shared" si="19"/>
        <v/>
      </c>
      <c r="N97" s="142" t="str">
        <f t="shared" si="25"/>
        <v/>
      </c>
    </row>
    <row r="98" spans="1:16" ht="15" customHeight="1" outlineLevel="1" x14ac:dyDescent="0.25">
      <c r="A98" s="163" t="str">
        <f>'_Tabellen und Listen'!B257</f>
        <v>Überzeugen</v>
      </c>
      <c r="B98" s="211" t="s">
        <v>375</v>
      </c>
      <c r="C98" s="307"/>
      <c r="D98" s="308"/>
      <c r="E98" s="313"/>
      <c r="F98" s="317"/>
      <c r="G98" s="309"/>
      <c r="H98" s="311"/>
      <c r="I98" s="121" t="b">
        <f t="shared" si="24"/>
        <v>0</v>
      </c>
      <c r="J98" s="303"/>
      <c r="K98" s="136" t="s">
        <v>579</v>
      </c>
      <c r="L98" s="140" t="str">
        <f t="shared" si="18"/>
        <v/>
      </c>
      <c r="M98" s="140" t="str">
        <f t="shared" si="19"/>
        <v/>
      </c>
      <c r="N98" s="142" t="str">
        <f t="shared" si="25"/>
        <v/>
      </c>
    </row>
    <row r="99" spans="1:16" ht="15" customHeight="1" outlineLevel="1" x14ac:dyDescent="0.25">
      <c r="A99" s="163" t="str">
        <f>'_Tabellen und Listen'!B258</f>
        <v>Verführen</v>
      </c>
      <c r="B99" s="211" t="s">
        <v>375</v>
      </c>
      <c r="C99" s="307"/>
      <c r="D99" s="308"/>
      <c r="E99" s="313"/>
      <c r="F99" s="317"/>
      <c r="G99" s="309"/>
      <c r="H99" s="311"/>
      <c r="I99" s="121" t="b">
        <f t="shared" si="24"/>
        <v>0</v>
      </c>
      <c r="J99" s="303"/>
      <c r="K99" s="136" t="s">
        <v>579</v>
      </c>
      <c r="L99" s="140" t="str">
        <f t="shared" si="18"/>
        <v/>
      </c>
      <c r="M99" s="140" t="str">
        <f t="shared" si="19"/>
        <v/>
      </c>
      <c r="N99" s="142" t="str">
        <f t="shared" si="25"/>
        <v/>
      </c>
    </row>
    <row r="100" spans="1:16" ht="15" customHeight="1" outlineLevel="1" thickBot="1" x14ac:dyDescent="0.3">
      <c r="A100" s="164" t="str">
        <f>'_Tabellen und Listen'!B259</f>
        <v>Verspotten</v>
      </c>
      <c r="B100" s="211" t="s">
        <v>375</v>
      </c>
      <c r="C100" s="307"/>
      <c r="D100" s="308"/>
      <c r="E100" s="313"/>
      <c r="F100" s="317"/>
      <c r="G100" s="309"/>
      <c r="H100" s="312"/>
      <c r="I100" s="121" t="b">
        <f t="shared" si="24"/>
        <v>0</v>
      </c>
      <c r="J100" s="302"/>
      <c r="K100" s="136" t="s">
        <v>579</v>
      </c>
      <c r="L100" s="140" t="str">
        <f t="shared" si="18"/>
        <v/>
      </c>
      <c r="M100" s="140" t="str">
        <f t="shared" si="19"/>
        <v/>
      </c>
      <c r="N100" s="143" t="str">
        <f t="shared" si="25"/>
        <v/>
      </c>
    </row>
    <row r="101" spans="1:16" ht="33.75" customHeight="1" outlineLevel="1" x14ac:dyDescent="0.25">
      <c r="A101" s="132" t="s">
        <v>407</v>
      </c>
      <c r="B101" s="211" t="s">
        <v>375</v>
      </c>
      <c r="C101" s="307" t="s">
        <v>408</v>
      </c>
      <c r="D101" s="308"/>
      <c r="E101" s="43"/>
      <c r="F101" s="115" t="s">
        <v>173</v>
      </c>
      <c r="G101" s="116">
        <v>3</v>
      </c>
      <c r="H101" s="112">
        <f>IF(F101&lt;&gt;"",VLOOKUP(F101,A$15:D$375,2,FALSE),0)</f>
        <v>2</v>
      </c>
      <c r="I101" s="121" t="b">
        <f t="shared" si="23"/>
        <v>0</v>
      </c>
      <c r="J101" s="150" t="str">
        <f t="shared" ref="J101:J107" si="26">IF(B101="ja",A101&amp;" ("&amp;C101&amp;")","")</f>
        <v/>
      </c>
      <c r="L101" s="140" t="str">
        <f t="shared" si="18"/>
        <v/>
      </c>
      <c r="M101" s="140" t="str">
        <f t="shared" si="19"/>
        <v/>
      </c>
      <c r="N101" s="139"/>
      <c r="O101" s="29"/>
      <c r="P101" s="29"/>
    </row>
    <row r="102" spans="1:16" ht="60" customHeight="1" outlineLevel="1" x14ac:dyDescent="0.25">
      <c r="A102" s="122" t="s">
        <v>409</v>
      </c>
      <c r="B102" s="211" t="s">
        <v>375</v>
      </c>
      <c r="C102" s="314" t="s">
        <v>411</v>
      </c>
      <c r="D102" s="308"/>
      <c r="E102" s="43"/>
      <c r="F102" s="115"/>
      <c r="G102" s="116"/>
      <c r="H102" s="155"/>
      <c r="I102" s="153" t="b">
        <v>1</v>
      </c>
      <c r="J102" s="150" t="str">
        <f t="shared" si="26"/>
        <v/>
      </c>
      <c r="L102" s="140" t="str">
        <f t="shared" si="18"/>
        <v/>
      </c>
      <c r="M102" s="140" t="str">
        <f t="shared" si="19"/>
        <v/>
      </c>
      <c r="N102" s="139"/>
      <c r="O102" s="29"/>
      <c r="P102" s="29"/>
    </row>
    <row r="103" spans="1:16" ht="60" customHeight="1" outlineLevel="1" x14ac:dyDescent="0.25">
      <c r="A103" s="122" t="s">
        <v>410</v>
      </c>
      <c r="B103" s="211" t="s">
        <v>375</v>
      </c>
      <c r="C103" s="314" t="s">
        <v>908</v>
      </c>
      <c r="D103" s="308"/>
      <c r="E103" s="43"/>
      <c r="F103" s="115"/>
      <c r="G103" s="116"/>
      <c r="H103" s="155"/>
      <c r="I103" s="153" t="b">
        <v>1</v>
      </c>
      <c r="J103" s="150" t="str">
        <f t="shared" si="26"/>
        <v/>
      </c>
      <c r="L103" s="140" t="str">
        <f t="shared" si="18"/>
        <v/>
      </c>
      <c r="M103" s="140" t="str">
        <f t="shared" si="19"/>
        <v/>
      </c>
      <c r="N103" s="139"/>
      <c r="O103" s="29"/>
      <c r="P103" s="29"/>
    </row>
    <row r="104" spans="1:16" ht="60" customHeight="1" outlineLevel="1" x14ac:dyDescent="0.25">
      <c r="A104" s="257" t="s">
        <v>906</v>
      </c>
      <c r="B104" s="224" t="s">
        <v>375</v>
      </c>
      <c r="C104" s="314" t="s">
        <v>907</v>
      </c>
      <c r="D104" s="308"/>
      <c r="E104" s="227"/>
      <c r="F104" s="115"/>
      <c r="G104" s="225"/>
      <c r="H104" s="155"/>
      <c r="I104" s="153" t="b">
        <v>1</v>
      </c>
      <c r="J104" s="150" t="str">
        <f t="shared" ref="J104" si="27">IF(B104="ja",A104&amp;" ("&amp;C104&amp;")","")</f>
        <v/>
      </c>
      <c r="L104" s="140" t="str">
        <f t="shared" ref="L104:L105" si="28">IF(J104="",L103,L103&amp;", "&amp;A104)</f>
        <v/>
      </c>
      <c r="M104" s="140" t="str">
        <f t="shared" ref="M104:M105" si="29">IF(J104="",M103,M103&amp;", "&amp;J104)</f>
        <v/>
      </c>
      <c r="N104" s="139"/>
      <c r="O104" s="29"/>
      <c r="P104" s="29"/>
    </row>
    <row r="105" spans="1:16" ht="48.75" customHeight="1" outlineLevel="1" x14ac:dyDescent="0.25">
      <c r="A105" s="122" t="s">
        <v>412</v>
      </c>
      <c r="B105" s="211" t="s">
        <v>375</v>
      </c>
      <c r="C105" s="314" t="s">
        <v>413</v>
      </c>
      <c r="D105" s="308"/>
      <c r="E105" s="43"/>
      <c r="F105" s="115"/>
      <c r="G105" s="116"/>
      <c r="H105" s="155"/>
      <c r="I105" s="153" t="b">
        <v>1</v>
      </c>
      <c r="J105" s="150" t="str">
        <f t="shared" si="26"/>
        <v/>
      </c>
      <c r="L105" s="140" t="str">
        <f t="shared" si="28"/>
        <v/>
      </c>
      <c r="M105" s="140" t="str">
        <f t="shared" si="29"/>
        <v/>
      </c>
      <c r="N105" s="139"/>
      <c r="O105" s="29"/>
      <c r="P105" s="29"/>
    </row>
    <row r="106" spans="1:16" ht="30" customHeight="1" outlineLevel="1" x14ac:dyDescent="0.25">
      <c r="A106" s="122" t="s">
        <v>414</v>
      </c>
      <c r="B106" s="211" t="s">
        <v>375</v>
      </c>
      <c r="C106" s="307" t="s">
        <v>416</v>
      </c>
      <c r="D106" s="308"/>
      <c r="E106" s="43"/>
      <c r="F106" s="115" t="s">
        <v>175</v>
      </c>
      <c r="G106" s="116">
        <v>3</v>
      </c>
      <c r="H106" s="112">
        <f t="shared" ref="H106:H113" si="30">IF(F106&lt;&gt;"",VLOOKUP(F106,A$15:D$375,2,FALSE),0)</f>
        <v>2</v>
      </c>
      <c r="I106" s="121" t="b">
        <f t="shared" ref="I106:I107" si="31">G106&lt;=H106</f>
        <v>0</v>
      </c>
      <c r="J106" s="150" t="str">
        <f t="shared" si="26"/>
        <v/>
      </c>
      <c r="L106" s="140" t="str">
        <f t="shared" si="18"/>
        <v/>
      </c>
      <c r="M106" s="140" t="str">
        <f t="shared" si="19"/>
        <v/>
      </c>
      <c r="N106" s="139"/>
      <c r="O106" s="29"/>
      <c r="P106" s="29"/>
    </row>
    <row r="107" spans="1:16" ht="30" customHeight="1" outlineLevel="1" x14ac:dyDescent="0.25">
      <c r="A107" s="122" t="s">
        <v>415</v>
      </c>
      <c r="B107" s="211" t="s">
        <v>375</v>
      </c>
      <c r="C107" s="307" t="s">
        <v>417</v>
      </c>
      <c r="D107" s="308"/>
      <c r="E107" s="43"/>
      <c r="F107" s="115" t="s">
        <v>178</v>
      </c>
      <c r="G107" s="116">
        <v>4</v>
      </c>
      <c r="H107" s="112">
        <f t="shared" si="30"/>
        <v>2</v>
      </c>
      <c r="I107" s="121" t="b">
        <f t="shared" si="31"/>
        <v>0</v>
      </c>
      <c r="J107" s="150" t="str">
        <f t="shared" si="26"/>
        <v/>
      </c>
      <c r="L107" s="140" t="str">
        <f t="shared" si="18"/>
        <v/>
      </c>
      <c r="M107" s="140" t="str">
        <f t="shared" si="19"/>
        <v/>
      </c>
      <c r="N107" s="139"/>
      <c r="O107" s="29"/>
      <c r="P107" s="29"/>
    </row>
    <row r="108" spans="1:16" ht="15" customHeight="1" outlineLevel="1" x14ac:dyDescent="0.25">
      <c r="A108" s="327" t="s">
        <v>418</v>
      </c>
      <c r="B108" s="330" t="s">
        <v>375</v>
      </c>
      <c r="C108" s="308" t="s">
        <v>419</v>
      </c>
      <c r="D108" s="308"/>
      <c r="E108" s="43"/>
      <c r="F108" s="115" t="s">
        <v>156</v>
      </c>
      <c r="G108" s="116">
        <v>4</v>
      </c>
      <c r="H108" s="112">
        <f t="shared" si="30"/>
        <v>2</v>
      </c>
      <c r="I108" s="320" t="b">
        <f>AND(G108&lt;=H108,G109&lt;=H109)</f>
        <v>0</v>
      </c>
      <c r="J108" s="301" t="str">
        <f>IF(B108="ja",A108&amp;" ("&amp;C108&amp;")","")</f>
        <v/>
      </c>
      <c r="L108" s="140" t="str">
        <f t="shared" si="18"/>
        <v/>
      </c>
      <c r="M108" s="140" t="str">
        <f t="shared" si="19"/>
        <v/>
      </c>
    </row>
    <row r="109" spans="1:16" ht="15" customHeight="1" outlineLevel="1" x14ac:dyDescent="0.25">
      <c r="A109" s="329"/>
      <c r="B109" s="330"/>
      <c r="C109" s="308"/>
      <c r="D109" s="308"/>
      <c r="E109" s="43"/>
      <c r="F109" s="115" t="s">
        <v>175</v>
      </c>
      <c r="G109" s="116">
        <v>4</v>
      </c>
      <c r="H109" s="112">
        <f t="shared" si="30"/>
        <v>2</v>
      </c>
      <c r="I109" s="321"/>
      <c r="J109" s="302"/>
      <c r="L109" s="140" t="str">
        <f t="shared" si="18"/>
        <v/>
      </c>
      <c r="M109" s="140" t="str">
        <f t="shared" si="19"/>
        <v/>
      </c>
    </row>
    <row r="110" spans="1:16" ht="45" customHeight="1" outlineLevel="1" x14ac:dyDescent="0.25">
      <c r="A110" s="122" t="s">
        <v>420</v>
      </c>
      <c r="B110" s="211" t="s">
        <v>375</v>
      </c>
      <c r="C110" s="307" t="s">
        <v>421</v>
      </c>
      <c r="D110" s="308"/>
      <c r="E110" s="43"/>
      <c r="F110" s="115" t="s">
        <v>217</v>
      </c>
      <c r="G110" s="116">
        <v>2</v>
      </c>
      <c r="H110" s="112">
        <f t="shared" si="30"/>
        <v>0</v>
      </c>
      <c r="I110" s="121" t="b">
        <f t="shared" ref="I110:I113" si="32">G110&lt;=H110</f>
        <v>0</v>
      </c>
      <c r="J110" s="150" t="str">
        <f t="shared" ref="J110" si="33">IF(B110="ja",A110&amp;" ("&amp;C110&amp;")","")</f>
        <v/>
      </c>
      <c r="L110" s="140" t="str">
        <f t="shared" si="18"/>
        <v/>
      </c>
      <c r="M110" s="140" t="str">
        <f t="shared" si="19"/>
        <v/>
      </c>
      <c r="N110" s="139"/>
      <c r="O110" s="29"/>
      <c r="P110" s="29"/>
    </row>
    <row r="111" spans="1:16" ht="15" customHeight="1" outlineLevel="1" x14ac:dyDescent="0.25">
      <c r="A111" s="327" t="s">
        <v>422</v>
      </c>
      <c r="B111" s="330" t="s">
        <v>375</v>
      </c>
      <c r="C111" s="308" t="s">
        <v>430</v>
      </c>
      <c r="D111" s="308"/>
      <c r="E111" s="43"/>
      <c r="F111" s="115" t="s">
        <v>178</v>
      </c>
      <c r="G111" s="116">
        <v>3</v>
      </c>
      <c r="H111" s="112">
        <f t="shared" si="30"/>
        <v>2</v>
      </c>
      <c r="I111" s="320" t="b">
        <f>AND(G111&lt;=H111,G112&lt;=H112)</f>
        <v>0</v>
      </c>
      <c r="J111" s="301" t="str">
        <f>IF(B111="ja",A111&amp;" ("&amp;C111&amp;")","")</f>
        <v/>
      </c>
      <c r="L111" s="140" t="str">
        <f t="shared" si="18"/>
        <v/>
      </c>
      <c r="M111" s="140" t="str">
        <f t="shared" si="19"/>
        <v/>
      </c>
    </row>
    <row r="112" spans="1:16" ht="15" customHeight="1" outlineLevel="1" x14ac:dyDescent="0.25">
      <c r="A112" s="329"/>
      <c r="B112" s="330"/>
      <c r="C112" s="308"/>
      <c r="D112" s="308"/>
      <c r="E112" s="43"/>
      <c r="F112" s="115" t="s">
        <v>244</v>
      </c>
      <c r="G112" s="116">
        <v>1</v>
      </c>
      <c r="H112" s="112">
        <f t="shared" si="30"/>
        <v>0</v>
      </c>
      <c r="I112" s="321"/>
      <c r="J112" s="302"/>
      <c r="L112" s="140" t="str">
        <f t="shared" si="18"/>
        <v/>
      </c>
      <c r="M112" s="140" t="str">
        <f t="shared" si="19"/>
        <v/>
      </c>
    </row>
    <row r="113" spans="1:16" ht="15" customHeight="1" outlineLevel="1" thickBot="1" x14ac:dyDescent="0.3">
      <c r="A113" s="130" t="s">
        <v>423</v>
      </c>
      <c r="B113" s="161">
        <v>0</v>
      </c>
      <c r="C113" s="308" t="s">
        <v>424</v>
      </c>
      <c r="D113" s="308"/>
      <c r="E113" s="43" t="s">
        <v>376</v>
      </c>
      <c r="F113" s="317" t="s">
        <v>403</v>
      </c>
      <c r="G113" s="309">
        <v>1</v>
      </c>
      <c r="H113" s="310">
        <f t="shared" si="30"/>
        <v>0</v>
      </c>
      <c r="I113" s="121" t="b">
        <f t="shared" si="32"/>
        <v>0</v>
      </c>
      <c r="J113" s="301" t="str">
        <f>IF(COUNTIF(B114:B119,"ja")&gt;0,A113&amp;" in "&amp;RIGHT(N119,LEN(N119)-2)&amp;" ("&amp;C113&amp;")","")</f>
        <v/>
      </c>
      <c r="L113" s="140" t="str">
        <f t="shared" si="18"/>
        <v/>
      </c>
      <c r="M113" s="140" t="str">
        <f t="shared" si="19"/>
        <v/>
      </c>
    </row>
    <row r="114" spans="1:16" ht="15" customHeight="1" outlineLevel="1" x14ac:dyDescent="0.25">
      <c r="A114" s="163" t="str">
        <f>'_Tabellen und Listen'!B253</f>
        <v>Aufstacheln</v>
      </c>
      <c r="B114" s="211" t="s">
        <v>375</v>
      </c>
      <c r="C114" s="307"/>
      <c r="D114" s="308"/>
      <c r="E114" s="43"/>
      <c r="F114" s="317"/>
      <c r="G114" s="309"/>
      <c r="H114" s="311"/>
      <c r="I114" s="121" t="b">
        <f>I113</f>
        <v>0</v>
      </c>
      <c r="J114" s="303"/>
      <c r="K114" s="136" t="s">
        <v>579</v>
      </c>
      <c r="L114" s="140" t="str">
        <f t="shared" si="18"/>
        <v/>
      </c>
      <c r="M114" s="140" t="str">
        <f t="shared" si="19"/>
        <v/>
      </c>
      <c r="N114" s="141" t="str">
        <f>IF(B114="ja",", "&amp;A114,"")</f>
        <v/>
      </c>
    </row>
    <row r="115" spans="1:16" ht="15" customHeight="1" outlineLevel="1" x14ac:dyDescent="0.25">
      <c r="A115" s="163" t="str">
        <f>'_Tabellen und Listen'!B273</f>
        <v>Koordinierung</v>
      </c>
      <c r="B115" s="211" t="s">
        <v>375</v>
      </c>
      <c r="C115" s="307"/>
      <c r="D115" s="308"/>
      <c r="E115" s="43"/>
      <c r="F115" s="317"/>
      <c r="G115" s="309"/>
      <c r="H115" s="311"/>
      <c r="I115" s="121" t="b">
        <f t="shared" ref="I115:I120" si="34">I114</f>
        <v>0</v>
      </c>
      <c r="J115" s="303"/>
      <c r="K115" s="136" t="s">
        <v>579</v>
      </c>
      <c r="L115" s="140" t="str">
        <f t="shared" si="18"/>
        <v/>
      </c>
      <c r="M115" s="140" t="str">
        <f t="shared" si="19"/>
        <v/>
      </c>
      <c r="N115" s="142" t="str">
        <f>IF(B115="ja",N114&amp;", "&amp;A115,N114)</f>
        <v/>
      </c>
    </row>
    <row r="116" spans="1:16" ht="15" customHeight="1" outlineLevel="1" x14ac:dyDescent="0.25">
      <c r="A116" s="163" t="str">
        <f>'_Tabellen und Listen'!B274</f>
        <v>Mut</v>
      </c>
      <c r="B116" s="211" t="s">
        <v>375</v>
      </c>
      <c r="C116" s="307"/>
      <c r="D116" s="308"/>
      <c r="E116" s="43"/>
      <c r="F116" s="317"/>
      <c r="G116" s="309"/>
      <c r="H116" s="311"/>
      <c r="I116" s="121" t="b">
        <f t="shared" si="34"/>
        <v>0</v>
      </c>
      <c r="J116" s="303"/>
      <c r="K116" s="136" t="s">
        <v>579</v>
      </c>
      <c r="L116" s="140" t="str">
        <f t="shared" si="18"/>
        <v/>
      </c>
      <c r="M116" s="140" t="str">
        <f t="shared" si="19"/>
        <v/>
      </c>
      <c r="N116" s="142" t="str">
        <f t="shared" ref="N116:N120" si="35">IF(B116="ja",N115&amp;", "&amp;A116,N115)</f>
        <v/>
      </c>
    </row>
    <row r="117" spans="1:16" ht="15" customHeight="1" outlineLevel="1" x14ac:dyDescent="0.25">
      <c r="A117" s="163" t="str">
        <f>'_Tabellen und Listen'!B275</f>
        <v/>
      </c>
      <c r="B117" s="211" t="s">
        <v>375</v>
      </c>
      <c r="C117" s="307"/>
      <c r="D117" s="308"/>
      <c r="E117" s="43"/>
      <c r="F117" s="317"/>
      <c r="G117" s="309"/>
      <c r="H117" s="311"/>
      <c r="I117" s="121" t="b">
        <f t="shared" si="34"/>
        <v>0</v>
      </c>
      <c r="J117" s="303"/>
      <c r="K117" s="136" t="s">
        <v>579</v>
      </c>
      <c r="L117" s="140" t="str">
        <f t="shared" si="18"/>
        <v/>
      </c>
      <c r="M117" s="140" t="str">
        <f t="shared" si="19"/>
        <v/>
      </c>
      <c r="N117" s="142" t="str">
        <f t="shared" si="35"/>
        <v/>
      </c>
    </row>
    <row r="118" spans="1:16" ht="15" customHeight="1" outlineLevel="1" x14ac:dyDescent="0.25">
      <c r="A118" s="163" t="str">
        <f>'_Tabellen und Listen'!B276</f>
        <v>Bildung</v>
      </c>
      <c r="B118" s="211" t="s">
        <v>375</v>
      </c>
      <c r="C118" s="307"/>
      <c r="D118" s="308"/>
      <c r="E118" s="43"/>
      <c r="F118" s="317"/>
      <c r="G118" s="309"/>
      <c r="H118" s="311"/>
      <c r="I118" s="121" t="b">
        <f t="shared" si="34"/>
        <v>0</v>
      </c>
      <c r="J118" s="303"/>
      <c r="K118" s="136" t="s">
        <v>579</v>
      </c>
      <c r="L118" s="140" t="str">
        <f t="shared" si="18"/>
        <v/>
      </c>
      <c r="M118" s="140" t="str">
        <f t="shared" si="19"/>
        <v/>
      </c>
      <c r="N118" s="142" t="str">
        <f t="shared" si="35"/>
        <v/>
      </c>
    </row>
    <row r="119" spans="1:16" ht="15" customHeight="1" outlineLevel="1" x14ac:dyDescent="0.25">
      <c r="A119" s="163" t="str">
        <f>'_Tabellen und Listen'!B277</f>
        <v>Gassenwissen</v>
      </c>
      <c r="B119" s="211" t="s">
        <v>375</v>
      </c>
      <c r="C119" s="307"/>
      <c r="D119" s="308"/>
      <c r="E119" s="43"/>
      <c r="F119" s="317"/>
      <c r="G119" s="309"/>
      <c r="H119" s="311"/>
      <c r="I119" s="121" t="b">
        <f t="shared" si="34"/>
        <v>0</v>
      </c>
      <c r="J119" s="303"/>
      <c r="K119" s="136" t="s">
        <v>579</v>
      </c>
      <c r="L119" s="140" t="str">
        <f t="shared" si="18"/>
        <v/>
      </c>
      <c r="M119" s="140" t="str">
        <f t="shared" si="19"/>
        <v/>
      </c>
      <c r="N119" s="142" t="str">
        <f t="shared" si="35"/>
        <v/>
      </c>
    </row>
    <row r="120" spans="1:16" ht="15" customHeight="1" outlineLevel="1" thickBot="1" x14ac:dyDescent="0.3">
      <c r="A120" s="164" t="str">
        <f>'_Tabellen und Listen'!B278</f>
        <v>Recherche</v>
      </c>
      <c r="B120" s="211" t="s">
        <v>375</v>
      </c>
      <c r="C120" s="307"/>
      <c r="D120" s="308"/>
      <c r="E120" s="43"/>
      <c r="F120" s="317"/>
      <c r="G120" s="309"/>
      <c r="H120" s="312"/>
      <c r="I120" s="121" t="b">
        <f t="shared" si="34"/>
        <v>0</v>
      </c>
      <c r="J120" s="302"/>
      <c r="K120" s="136" t="s">
        <v>579</v>
      </c>
      <c r="L120" s="140" t="str">
        <f t="shared" si="18"/>
        <v/>
      </c>
      <c r="M120" s="140" t="str">
        <f t="shared" si="19"/>
        <v/>
      </c>
      <c r="N120" s="143" t="str">
        <f t="shared" si="35"/>
        <v/>
      </c>
    </row>
    <row r="121" spans="1:16" ht="24" customHeight="1" outlineLevel="1" x14ac:dyDescent="0.25">
      <c r="A121" s="327" t="s">
        <v>425</v>
      </c>
      <c r="B121" s="330" t="s">
        <v>375</v>
      </c>
      <c r="C121" s="308" t="s">
        <v>426</v>
      </c>
      <c r="D121" s="308"/>
      <c r="E121" s="43"/>
      <c r="F121" s="115" t="s">
        <v>177</v>
      </c>
      <c r="G121" s="116">
        <v>4</v>
      </c>
      <c r="H121" s="112">
        <f>IF(F121&lt;&gt;"",VLOOKUP(F121,A$15:D$375,2,FALSE),0)</f>
        <v>2</v>
      </c>
      <c r="I121" s="320" t="b">
        <f>AND(G121&lt;=H121,G122&lt;=H122)</f>
        <v>0</v>
      </c>
      <c r="J121" s="301" t="str">
        <f>IF(B121="ja",A121&amp;" ("&amp;C121&amp;")","")</f>
        <v/>
      </c>
      <c r="L121" s="140" t="str">
        <f t="shared" si="18"/>
        <v/>
      </c>
      <c r="M121" s="140" t="str">
        <f t="shared" si="19"/>
        <v/>
      </c>
    </row>
    <row r="122" spans="1:16" ht="24" customHeight="1" outlineLevel="1" x14ac:dyDescent="0.25">
      <c r="A122" s="329"/>
      <c r="B122" s="330"/>
      <c r="C122" s="308"/>
      <c r="D122" s="308"/>
      <c r="E122" s="43"/>
      <c r="F122" s="115" t="s">
        <v>243</v>
      </c>
      <c r="G122" s="116">
        <v>2</v>
      </c>
      <c r="H122" s="112">
        <f>IF(F122&lt;&gt;"",VLOOKUP(F122,A$15:D$375,2,FALSE),0)</f>
        <v>0</v>
      </c>
      <c r="I122" s="321"/>
      <c r="J122" s="302"/>
      <c r="L122" s="140" t="str">
        <f t="shared" si="18"/>
        <v/>
      </c>
      <c r="M122" s="140" t="str">
        <f t="shared" si="19"/>
        <v/>
      </c>
    </row>
    <row r="123" spans="1:16" ht="60" customHeight="1" outlineLevel="1" x14ac:dyDescent="0.25">
      <c r="A123" s="122" t="s">
        <v>427</v>
      </c>
      <c r="B123" s="211" t="s">
        <v>375</v>
      </c>
      <c r="C123" s="314" t="s">
        <v>428</v>
      </c>
      <c r="D123" s="308"/>
      <c r="E123" s="43"/>
      <c r="F123" s="115"/>
      <c r="G123" s="116"/>
      <c r="H123" s="155"/>
      <c r="I123" s="153" t="b">
        <v>1</v>
      </c>
      <c r="J123" s="150" t="str">
        <f t="shared" ref="J123" si="36">IF(B123="ja",A123&amp;" ("&amp;C123&amp;")","")</f>
        <v/>
      </c>
      <c r="L123" s="140" t="str">
        <f t="shared" si="18"/>
        <v/>
      </c>
      <c r="M123" s="140" t="str">
        <f t="shared" si="19"/>
        <v/>
      </c>
      <c r="N123" s="139"/>
      <c r="O123" s="29"/>
      <c r="P123" s="29"/>
    </row>
    <row r="124" spans="1:16" ht="60" customHeight="1" outlineLevel="1" x14ac:dyDescent="0.25">
      <c r="A124" s="257" t="s">
        <v>909</v>
      </c>
      <c r="B124" s="224" t="s">
        <v>375</v>
      </c>
      <c r="C124" s="314" t="s">
        <v>910</v>
      </c>
      <c r="D124" s="308"/>
      <c r="E124" s="227"/>
      <c r="F124" s="115"/>
      <c r="G124" s="225"/>
      <c r="H124" s="155"/>
      <c r="I124" s="153" t="b">
        <v>1</v>
      </c>
      <c r="J124" s="150" t="str">
        <f t="shared" ref="J124" si="37">IF(B124="ja",A124&amp;" ("&amp;C124&amp;")","")</f>
        <v/>
      </c>
      <c r="L124" s="140" t="str">
        <f t="shared" ref="L124" si="38">IF(J124="",L123,L123&amp;", "&amp;A124)</f>
        <v/>
      </c>
      <c r="M124" s="140" t="str">
        <f t="shared" ref="M124" si="39">IF(J124="",M123,M123&amp;", "&amp;J124)</f>
        <v/>
      </c>
      <c r="N124" s="139"/>
      <c r="O124" s="29"/>
      <c r="P124" s="29"/>
    </row>
    <row r="125" spans="1:16" ht="15" customHeight="1" x14ac:dyDescent="0.25">
      <c r="A125" s="53" t="s">
        <v>293</v>
      </c>
      <c r="B125" s="151"/>
      <c r="C125" s="17"/>
      <c r="D125" s="17"/>
      <c r="E125" s="113"/>
      <c r="F125" s="115"/>
      <c r="G125" s="116"/>
      <c r="H125" s="116"/>
      <c r="I125" s="153"/>
      <c r="J125" s="134"/>
      <c r="L125" s="140" t="str">
        <f t="shared" ref="L125" si="40">IF(J125="",L124,L124&amp;", "&amp;A125)</f>
        <v/>
      </c>
      <c r="M125" s="140" t="str">
        <f t="shared" ref="M125" si="41">IF(J125="",M124,M124&amp;", "&amp;J125)</f>
        <v/>
      </c>
      <c r="N125" s="139"/>
    </row>
    <row r="126" spans="1:16" ht="30" customHeight="1" outlineLevel="1" x14ac:dyDescent="0.25">
      <c r="A126" s="327" t="s">
        <v>431</v>
      </c>
      <c r="B126" s="330" t="s">
        <v>375</v>
      </c>
      <c r="C126" s="308" t="s">
        <v>432</v>
      </c>
      <c r="D126" s="308"/>
      <c r="E126" s="43"/>
      <c r="F126" s="115" t="s">
        <v>26</v>
      </c>
      <c r="G126" s="116">
        <v>4</v>
      </c>
      <c r="H126" s="112">
        <f t="shared" ref="H126:H136" si="42">IF(F126&lt;&gt;"",VLOOKUP(F126,A$15:D$375,2,FALSE),0)</f>
        <v>2</v>
      </c>
      <c r="I126" s="320" t="b">
        <f>AND(G126&lt;=H126,G127&lt;=H127)</f>
        <v>0</v>
      </c>
      <c r="J126" s="301" t="str">
        <f>IF(B126="ja",A126&amp;" ("&amp;C126&amp;")","")</f>
        <v/>
      </c>
      <c r="L126" s="140" t="str">
        <f t="shared" si="18"/>
        <v/>
      </c>
      <c r="M126" s="140" t="str">
        <f t="shared" si="19"/>
        <v/>
      </c>
    </row>
    <row r="127" spans="1:16" ht="30" customHeight="1" outlineLevel="1" x14ac:dyDescent="0.25">
      <c r="A127" s="329"/>
      <c r="B127" s="330"/>
      <c r="C127" s="308"/>
      <c r="D127" s="308"/>
      <c r="E127" s="43"/>
      <c r="F127" s="115" t="s">
        <v>191</v>
      </c>
      <c r="G127" s="116">
        <v>1</v>
      </c>
      <c r="H127" s="112">
        <f t="shared" si="42"/>
        <v>0</v>
      </c>
      <c r="I127" s="321"/>
      <c r="J127" s="302"/>
      <c r="L127" s="140" t="str">
        <f t="shared" si="18"/>
        <v/>
      </c>
      <c r="M127" s="140" t="str">
        <f t="shared" si="19"/>
        <v/>
      </c>
    </row>
    <row r="128" spans="1:16" ht="15" customHeight="1" outlineLevel="1" x14ac:dyDescent="0.25">
      <c r="A128" s="327" t="s">
        <v>433</v>
      </c>
      <c r="B128" s="330" t="s">
        <v>375</v>
      </c>
      <c r="C128" s="308" t="s">
        <v>434</v>
      </c>
      <c r="D128" s="308"/>
      <c r="E128" s="43"/>
      <c r="F128" s="115" t="s">
        <v>27</v>
      </c>
      <c r="G128" s="116">
        <v>4</v>
      </c>
      <c r="H128" s="112">
        <f t="shared" si="42"/>
        <v>2</v>
      </c>
      <c r="I128" s="320" t="b">
        <f>AND(G128&lt;=H128,G129&lt;=H129)</f>
        <v>0</v>
      </c>
      <c r="J128" s="301" t="str">
        <f>IF(B128="ja",A128&amp;" ("&amp;C128&amp;")","")</f>
        <v/>
      </c>
      <c r="L128" s="140" t="str">
        <f t="shared" si="18"/>
        <v/>
      </c>
      <c r="M128" s="140" t="str">
        <f t="shared" si="19"/>
        <v/>
      </c>
    </row>
    <row r="129" spans="1:16" ht="15" customHeight="1" outlineLevel="1" x14ac:dyDescent="0.25">
      <c r="A129" s="329"/>
      <c r="B129" s="330"/>
      <c r="C129" s="308"/>
      <c r="D129" s="308"/>
      <c r="E129" s="43"/>
      <c r="F129" s="115" t="s">
        <v>199</v>
      </c>
      <c r="G129" s="116">
        <v>2</v>
      </c>
      <c r="H129" s="112">
        <f t="shared" si="42"/>
        <v>0</v>
      </c>
      <c r="I129" s="321"/>
      <c r="J129" s="302"/>
      <c r="L129" s="140" t="str">
        <f t="shared" si="18"/>
        <v/>
      </c>
      <c r="M129" s="140" t="str">
        <f t="shared" si="19"/>
        <v/>
      </c>
    </row>
    <row r="130" spans="1:16" ht="15" customHeight="1" outlineLevel="1" x14ac:dyDescent="0.25">
      <c r="A130" s="327" t="s">
        <v>435</v>
      </c>
      <c r="B130" s="330" t="s">
        <v>375</v>
      </c>
      <c r="C130" s="308" t="s">
        <v>438</v>
      </c>
      <c r="D130" s="308"/>
      <c r="E130" s="43"/>
      <c r="F130" s="115" t="s">
        <v>27</v>
      </c>
      <c r="G130" s="116">
        <v>5</v>
      </c>
      <c r="H130" s="112">
        <f t="shared" si="42"/>
        <v>2</v>
      </c>
      <c r="I130" s="320" t="b">
        <f>AND(G130&lt;=H130,G131&lt;=H131,G132&lt;=H132)</f>
        <v>0</v>
      </c>
      <c r="J130" s="301" t="str">
        <f>IF(B130="ja",A130&amp;" ("&amp;C130&amp;")","")</f>
        <v/>
      </c>
      <c r="L130" s="140" t="str">
        <f t="shared" si="18"/>
        <v/>
      </c>
      <c r="M130" s="140" t="str">
        <f t="shared" si="19"/>
        <v/>
      </c>
    </row>
    <row r="131" spans="1:16" ht="15" customHeight="1" outlineLevel="1" x14ac:dyDescent="0.25">
      <c r="A131" s="328"/>
      <c r="B131" s="330"/>
      <c r="C131" s="308"/>
      <c r="D131" s="308"/>
      <c r="E131" s="43"/>
      <c r="F131" s="115" t="s">
        <v>199</v>
      </c>
      <c r="G131" s="116">
        <v>3</v>
      </c>
      <c r="H131" s="112">
        <f t="shared" si="42"/>
        <v>0</v>
      </c>
      <c r="I131" s="322"/>
      <c r="J131" s="303"/>
      <c r="L131" s="140" t="str">
        <f t="shared" si="18"/>
        <v/>
      </c>
      <c r="M131" s="140" t="str">
        <f t="shared" si="19"/>
        <v/>
      </c>
    </row>
    <row r="132" spans="1:16" ht="15" customHeight="1" outlineLevel="1" x14ac:dyDescent="0.25">
      <c r="A132" s="329"/>
      <c r="B132" s="330"/>
      <c r="C132" s="308"/>
      <c r="D132" s="308"/>
      <c r="E132" s="113"/>
      <c r="F132" s="115" t="s">
        <v>433</v>
      </c>
      <c r="G132" s="116" t="s">
        <v>310</v>
      </c>
      <c r="H132" s="112" t="str">
        <f t="shared" si="42"/>
        <v>nein</v>
      </c>
      <c r="I132" s="321"/>
      <c r="J132" s="302"/>
      <c r="L132" s="140" t="str">
        <f t="shared" si="18"/>
        <v/>
      </c>
      <c r="M132" s="140" t="str">
        <f t="shared" si="19"/>
        <v/>
      </c>
    </row>
    <row r="133" spans="1:16" ht="30" customHeight="1" outlineLevel="1" x14ac:dyDescent="0.25">
      <c r="A133" s="327" t="s">
        <v>437</v>
      </c>
      <c r="B133" s="330" t="s">
        <v>375</v>
      </c>
      <c r="C133" s="308" t="s">
        <v>436</v>
      </c>
      <c r="D133" s="308"/>
      <c r="E133" s="43"/>
      <c r="F133" s="115" t="s">
        <v>27</v>
      </c>
      <c r="G133" s="116">
        <v>6</v>
      </c>
      <c r="H133" s="112">
        <f t="shared" si="42"/>
        <v>2</v>
      </c>
      <c r="I133" s="320" t="b">
        <f>AND(G133&lt;=H133,G134&lt;=H134,G135&lt;=H135)</f>
        <v>0</v>
      </c>
      <c r="J133" s="301" t="str">
        <f>IF(B133="ja",A133&amp;" ("&amp;C133&amp;")","")</f>
        <v/>
      </c>
      <c r="L133" s="140" t="str">
        <f t="shared" si="18"/>
        <v/>
      </c>
      <c r="M133" s="140" t="str">
        <f t="shared" si="19"/>
        <v/>
      </c>
    </row>
    <row r="134" spans="1:16" ht="30" customHeight="1" outlineLevel="1" x14ac:dyDescent="0.25">
      <c r="A134" s="328"/>
      <c r="B134" s="330"/>
      <c r="C134" s="308"/>
      <c r="D134" s="308"/>
      <c r="E134" s="43"/>
      <c r="F134" s="115" t="s">
        <v>199</v>
      </c>
      <c r="G134" s="116">
        <v>3</v>
      </c>
      <c r="H134" s="112">
        <f t="shared" si="42"/>
        <v>0</v>
      </c>
      <c r="I134" s="322"/>
      <c r="J134" s="303"/>
      <c r="L134" s="140" t="str">
        <f t="shared" si="18"/>
        <v/>
      </c>
      <c r="M134" s="140" t="str">
        <f t="shared" si="19"/>
        <v/>
      </c>
    </row>
    <row r="135" spans="1:16" ht="15" customHeight="1" outlineLevel="1" x14ac:dyDescent="0.25">
      <c r="A135" s="329"/>
      <c r="B135" s="330"/>
      <c r="C135" s="308"/>
      <c r="D135" s="308"/>
      <c r="E135" s="113"/>
      <c r="F135" s="115" t="s">
        <v>435</v>
      </c>
      <c r="G135" s="116"/>
      <c r="H135" s="112" t="str">
        <f t="shared" si="42"/>
        <v>nein</v>
      </c>
      <c r="I135" s="321"/>
      <c r="J135" s="302"/>
      <c r="L135" s="140" t="str">
        <f t="shared" si="18"/>
        <v/>
      </c>
      <c r="M135" s="140" t="str">
        <f t="shared" si="19"/>
        <v/>
      </c>
    </row>
    <row r="136" spans="1:16" ht="60" customHeight="1" outlineLevel="1" x14ac:dyDescent="0.25">
      <c r="A136" s="122" t="s">
        <v>439</v>
      </c>
      <c r="B136" s="211" t="s">
        <v>375</v>
      </c>
      <c r="C136" s="307" t="s">
        <v>440</v>
      </c>
      <c r="D136" s="308"/>
      <c r="E136" s="43"/>
      <c r="F136" s="115" t="s">
        <v>170</v>
      </c>
      <c r="G136" s="116">
        <v>4</v>
      </c>
      <c r="H136" s="112">
        <f t="shared" si="42"/>
        <v>2</v>
      </c>
      <c r="I136" s="121" t="b">
        <f t="shared" ref="I136" si="43">G136&lt;=H136</f>
        <v>0</v>
      </c>
      <c r="J136" s="150" t="str">
        <f t="shared" ref="J136:J137" si="44">IF(B136="ja",A136&amp;" ("&amp;C136&amp;")","")</f>
        <v/>
      </c>
      <c r="L136" s="140" t="str">
        <f t="shared" si="18"/>
        <v/>
      </c>
      <c r="M136" s="140" t="str">
        <f t="shared" si="19"/>
        <v/>
      </c>
      <c r="N136" s="139"/>
      <c r="O136" s="29"/>
      <c r="P136" s="29"/>
    </row>
    <row r="137" spans="1:16" ht="60" customHeight="1" outlineLevel="1" x14ac:dyDescent="0.25">
      <c r="A137" s="122" t="s">
        <v>441</v>
      </c>
      <c r="B137" s="211" t="s">
        <v>375</v>
      </c>
      <c r="C137" s="314" t="s">
        <v>442</v>
      </c>
      <c r="D137" s="308"/>
      <c r="E137" s="43"/>
      <c r="F137" s="115"/>
      <c r="G137" s="116"/>
      <c r="H137" s="155"/>
      <c r="I137" s="153" t="b">
        <v>1</v>
      </c>
      <c r="J137" s="150" t="str">
        <f t="shared" si="44"/>
        <v/>
      </c>
      <c r="L137" s="140" t="str">
        <f t="shared" si="18"/>
        <v/>
      </c>
      <c r="M137" s="140" t="str">
        <f t="shared" si="19"/>
        <v/>
      </c>
      <c r="N137" s="139"/>
      <c r="O137" s="29"/>
      <c r="P137" s="29"/>
    </row>
    <row r="138" spans="1:16" ht="15" customHeight="1" outlineLevel="1" x14ac:dyDescent="0.25">
      <c r="A138" s="327" t="s">
        <v>443</v>
      </c>
      <c r="B138" s="330" t="s">
        <v>375</v>
      </c>
      <c r="C138" s="308" t="s">
        <v>446</v>
      </c>
      <c r="D138" s="308"/>
      <c r="E138" s="43"/>
      <c r="F138" s="115" t="s">
        <v>27</v>
      </c>
      <c r="G138" s="116">
        <v>4</v>
      </c>
      <c r="H138" s="112">
        <f t="shared" ref="H138:H150" si="45">IF(F138&lt;&gt;"",VLOOKUP(F138,A$15:D$375,2,FALSE),0)</f>
        <v>2</v>
      </c>
      <c r="I138" s="320" t="b">
        <f>AND(G138&lt;=H138,G139&lt;=H139)</f>
        <v>0</v>
      </c>
      <c r="J138" s="301" t="str">
        <f>IF(B138="ja",A138&amp;" ("&amp;C138&amp;")","")</f>
        <v/>
      </c>
      <c r="L138" s="140" t="str">
        <f t="shared" si="18"/>
        <v/>
      </c>
      <c r="M138" s="140" t="str">
        <f t="shared" si="19"/>
        <v/>
      </c>
    </row>
    <row r="139" spans="1:16" ht="15" customHeight="1" outlineLevel="1" x14ac:dyDescent="0.25">
      <c r="A139" s="329"/>
      <c r="B139" s="330"/>
      <c r="C139" s="308"/>
      <c r="D139" s="308"/>
      <c r="E139" s="43"/>
      <c r="F139" s="115" t="s">
        <v>200</v>
      </c>
      <c r="G139" s="116">
        <v>1</v>
      </c>
      <c r="H139" s="112">
        <f t="shared" si="45"/>
        <v>0</v>
      </c>
      <c r="I139" s="321"/>
      <c r="J139" s="302"/>
      <c r="L139" s="140" t="str">
        <f t="shared" si="18"/>
        <v/>
      </c>
      <c r="M139" s="140" t="str">
        <f t="shared" si="19"/>
        <v/>
      </c>
    </row>
    <row r="140" spans="1:16" ht="15" customHeight="1" outlineLevel="1" x14ac:dyDescent="0.25">
      <c r="A140" s="327" t="s">
        <v>444</v>
      </c>
      <c r="B140" s="330" t="s">
        <v>375</v>
      </c>
      <c r="C140" s="308" t="s">
        <v>447</v>
      </c>
      <c r="D140" s="308"/>
      <c r="E140" s="43"/>
      <c r="F140" s="115" t="s">
        <v>27</v>
      </c>
      <c r="G140" s="116">
        <v>5</v>
      </c>
      <c r="H140" s="112">
        <f t="shared" si="45"/>
        <v>2</v>
      </c>
      <c r="I140" s="320" t="b">
        <f>AND(G140&lt;=H140,G141&lt;=H141,G142&lt;=H142)</f>
        <v>0</v>
      </c>
      <c r="J140" s="301" t="str">
        <f>IF(B140="ja",A140&amp;" ("&amp;C140&amp;")","")</f>
        <v/>
      </c>
      <c r="L140" s="140" t="str">
        <f t="shared" si="18"/>
        <v/>
      </c>
      <c r="M140" s="140" t="str">
        <f t="shared" si="19"/>
        <v/>
      </c>
    </row>
    <row r="141" spans="1:16" ht="15" customHeight="1" outlineLevel="1" x14ac:dyDescent="0.25">
      <c r="A141" s="328"/>
      <c r="B141" s="330"/>
      <c r="C141" s="308"/>
      <c r="D141" s="308"/>
      <c r="E141" s="43"/>
      <c r="F141" s="115" t="s">
        <v>200</v>
      </c>
      <c r="G141" s="116">
        <v>2</v>
      </c>
      <c r="H141" s="112">
        <f t="shared" si="45"/>
        <v>0</v>
      </c>
      <c r="I141" s="322"/>
      <c r="J141" s="303"/>
      <c r="L141" s="140" t="str">
        <f t="shared" si="18"/>
        <v/>
      </c>
      <c r="M141" s="140" t="str">
        <f t="shared" si="19"/>
        <v/>
      </c>
    </row>
    <row r="142" spans="1:16" ht="15" customHeight="1" outlineLevel="1" x14ac:dyDescent="0.25">
      <c r="A142" s="329"/>
      <c r="B142" s="330"/>
      <c r="C142" s="308"/>
      <c r="D142" s="308"/>
      <c r="E142" s="113"/>
      <c r="F142" s="115" t="s">
        <v>443</v>
      </c>
      <c r="G142" s="116" t="s">
        <v>310</v>
      </c>
      <c r="H142" s="112" t="str">
        <f t="shared" si="45"/>
        <v>nein</v>
      </c>
      <c r="I142" s="321"/>
      <c r="J142" s="302"/>
      <c r="L142" s="140" t="str">
        <f t="shared" si="18"/>
        <v/>
      </c>
      <c r="M142" s="140" t="str">
        <f t="shared" si="19"/>
        <v/>
      </c>
    </row>
    <row r="143" spans="1:16" ht="15" customHeight="1" outlineLevel="1" x14ac:dyDescent="0.25">
      <c r="A143" s="327" t="s">
        <v>445</v>
      </c>
      <c r="B143" s="330" t="s">
        <v>375</v>
      </c>
      <c r="C143" s="308" t="s">
        <v>448</v>
      </c>
      <c r="D143" s="308"/>
      <c r="E143" s="43"/>
      <c r="F143" s="115" t="s">
        <v>27</v>
      </c>
      <c r="G143" s="116">
        <v>6</v>
      </c>
      <c r="H143" s="112">
        <f t="shared" si="45"/>
        <v>2</v>
      </c>
      <c r="I143" s="320" t="b">
        <f>AND(G143&lt;=H143,G144&lt;=H144,G145&lt;=H145)</f>
        <v>0</v>
      </c>
      <c r="J143" s="301" t="str">
        <f>IF(B143="ja",A143&amp;" ("&amp;C143&amp;")","")</f>
        <v/>
      </c>
      <c r="L143" s="140" t="str">
        <f t="shared" si="18"/>
        <v/>
      </c>
      <c r="M143" s="140" t="str">
        <f t="shared" si="19"/>
        <v/>
      </c>
    </row>
    <row r="144" spans="1:16" ht="15" customHeight="1" outlineLevel="1" x14ac:dyDescent="0.25">
      <c r="A144" s="328"/>
      <c r="B144" s="330"/>
      <c r="C144" s="308"/>
      <c r="D144" s="308"/>
      <c r="E144" s="43"/>
      <c r="F144" s="115" t="s">
        <v>200</v>
      </c>
      <c r="G144" s="116">
        <v>3</v>
      </c>
      <c r="H144" s="112">
        <f t="shared" si="45"/>
        <v>0</v>
      </c>
      <c r="I144" s="322"/>
      <c r="J144" s="303"/>
      <c r="L144" s="140" t="str">
        <f t="shared" si="18"/>
        <v/>
      </c>
      <c r="M144" s="140" t="str">
        <f t="shared" si="19"/>
        <v/>
      </c>
    </row>
    <row r="145" spans="1:16" ht="15" customHeight="1" outlineLevel="1" x14ac:dyDescent="0.25">
      <c r="A145" s="329"/>
      <c r="B145" s="330"/>
      <c r="C145" s="308"/>
      <c r="D145" s="308"/>
      <c r="E145" s="113"/>
      <c r="F145" s="115" t="s">
        <v>444</v>
      </c>
      <c r="G145" s="116" t="s">
        <v>310</v>
      </c>
      <c r="H145" s="112" t="str">
        <f t="shared" si="45"/>
        <v>nein</v>
      </c>
      <c r="I145" s="321"/>
      <c r="J145" s="302"/>
      <c r="L145" s="140" t="str">
        <f t="shared" si="18"/>
        <v/>
      </c>
      <c r="M145" s="140" t="str">
        <f t="shared" si="19"/>
        <v/>
      </c>
    </row>
    <row r="146" spans="1:16" ht="15" customHeight="1" outlineLevel="1" x14ac:dyDescent="0.25">
      <c r="A146" s="327" t="s">
        <v>449</v>
      </c>
      <c r="B146" s="330" t="s">
        <v>375</v>
      </c>
      <c r="C146" s="308" t="s">
        <v>452</v>
      </c>
      <c r="D146" s="308"/>
      <c r="E146" s="43"/>
      <c r="F146" s="115" t="s">
        <v>172</v>
      </c>
      <c r="G146" s="116">
        <v>5</v>
      </c>
      <c r="H146" s="112">
        <f t="shared" si="45"/>
        <v>2</v>
      </c>
      <c r="I146" s="320" t="b">
        <f>AND(G146&lt;=H146,G147&lt;=H147)</f>
        <v>0</v>
      </c>
      <c r="J146" s="301" t="str">
        <f>IF(B146="ja",A146&amp;" ("&amp;C146&amp;")","")</f>
        <v/>
      </c>
      <c r="L146" s="140" t="str">
        <f t="shared" si="18"/>
        <v/>
      </c>
      <c r="M146" s="140" t="str">
        <f t="shared" si="19"/>
        <v/>
      </c>
    </row>
    <row r="147" spans="1:16" ht="15" customHeight="1" outlineLevel="1" x14ac:dyDescent="0.25">
      <c r="A147" s="329"/>
      <c r="B147" s="330"/>
      <c r="C147" s="308"/>
      <c r="D147" s="308"/>
      <c r="E147" s="43"/>
      <c r="F147" s="115" t="s">
        <v>215</v>
      </c>
      <c r="G147" s="116">
        <v>3</v>
      </c>
      <c r="H147" s="112">
        <f t="shared" si="45"/>
        <v>0</v>
      </c>
      <c r="I147" s="321"/>
      <c r="J147" s="302"/>
      <c r="L147" s="140" t="str">
        <f t="shared" si="18"/>
        <v/>
      </c>
      <c r="M147" s="140" t="str">
        <f t="shared" si="19"/>
        <v/>
      </c>
    </row>
    <row r="148" spans="1:16" ht="15" customHeight="1" outlineLevel="1" x14ac:dyDescent="0.25">
      <c r="A148" s="327" t="s">
        <v>450</v>
      </c>
      <c r="B148" s="330" t="s">
        <v>375</v>
      </c>
      <c r="C148" s="308" t="s">
        <v>451</v>
      </c>
      <c r="D148" s="308"/>
      <c r="E148" s="43"/>
      <c r="F148" s="115" t="s">
        <v>172</v>
      </c>
      <c r="G148" s="116">
        <v>7</v>
      </c>
      <c r="H148" s="112">
        <f t="shared" si="45"/>
        <v>2</v>
      </c>
      <c r="I148" s="320" t="b">
        <f>AND(G148&lt;=H148,G149&lt;=H149,G150&lt;=H150)</f>
        <v>0</v>
      </c>
      <c r="J148" s="301" t="str">
        <f>IF(B148="ja",A148&amp;" ("&amp;C148&amp;")","")</f>
        <v/>
      </c>
      <c r="L148" s="140" t="str">
        <f t="shared" si="18"/>
        <v/>
      </c>
      <c r="M148" s="140" t="str">
        <f t="shared" si="19"/>
        <v/>
      </c>
    </row>
    <row r="149" spans="1:16" ht="15" customHeight="1" outlineLevel="1" x14ac:dyDescent="0.25">
      <c r="A149" s="328"/>
      <c r="B149" s="330"/>
      <c r="C149" s="308"/>
      <c r="D149" s="308"/>
      <c r="E149" s="43"/>
      <c r="F149" s="115" t="s">
        <v>215</v>
      </c>
      <c r="G149" s="116">
        <v>5</v>
      </c>
      <c r="H149" s="112">
        <f t="shared" si="45"/>
        <v>0</v>
      </c>
      <c r="I149" s="322"/>
      <c r="J149" s="303"/>
      <c r="L149" s="140" t="str">
        <f t="shared" ref="L149:L212" si="46">IF(J149="",L148,L148&amp;", "&amp;A149)</f>
        <v/>
      </c>
      <c r="M149" s="140" t="str">
        <f t="shared" si="19"/>
        <v/>
      </c>
    </row>
    <row r="150" spans="1:16" ht="15" customHeight="1" outlineLevel="1" x14ac:dyDescent="0.25">
      <c r="A150" s="329"/>
      <c r="B150" s="330"/>
      <c r="C150" s="308"/>
      <c r="D150" s="308"/>
      <c r="E150" s="113"/>
      <c r="F150" s="115" t="s">
        <v>449</v>
      </c>
      <c r="G150" s="116" t="s">
        <v>310</v>
      </c>
      <c r="H150" s="112" t="str">
        <f t="shared" si="45"/>
        <v>nein</v>
      </c>
      <c r="I150" s="321"/>
      <c r="J150" s="302"/>
      <c r="L150" s="140" t="str">
        <f t="shared" si="46"/>
        <v/>
      </c>
      <c r="M150" s="140" t="str">
        <f t="shared" si="19"/>
        <v/>
      </c>
    </row>
    <row r="151" spans="1:16" ht="30" customHeight="1" outlineLevel="1" x14ac:dyDescent="0.25">
      <c r="A151" s="122" t="s">
        <v>453</v>
      </c>
      <c r="B151" s="211" t="s">
        <v>375</v>
      </c>
      <c r="C151" s="314" t="s">
        <v>508</v>
      </c>
      <c r="D151" s="308"/>
      <c r="E151" s="43"/>
      <c r="F151" s="115"/>
      <c r="G151" s="116"/>
      <c r="H151" s="155"/>
      <c r="I151" s="153" t="b">
        <v>1</v>
      </c>
      <c r="J151" s="150" t="str">
        <f t="shared" ref="J151" si="47">IF(B151="ja",A151&amp;" ("&amp;C151&amp;")","")</f>
        <v/>
      </c>
      <c r="L151" s="140" t="str">
        <f t="shared" si="46"/>
        <v/>
      </c>
      <c r="M151" s="140" t="str">
        <f t="shared" ref="M151:M214" si="48">IF(J151="",M150,M150&amp;", "&amp;J151)</f>
        <v/>
      </c>
      <c r="N151" s="139"/>
      <c r="O151" s="29"/>
      <c r="P151" s="29"/>
    </row>
    <row r="152" spans="1:16" ht="15" customHeight="1" outlineLevel="1" x14ac:dyDescent="0.25">
      <c r="A152" s="327" t="s">
        <v>454</v>
      </c>
      <c r="B152" s="330" t="s">
        <v>375</v>
      </c>
      <c r="C152" s="308" t="s">
        <v>455</v>
      </c>
      <c r="D152" s="308"/>
      <c r="E152" s="43"/>
      <c r="F152" s="115" t="s">
        <v>170</v>
      </c>
      <c r="G152" s="116">
        <v>4</v>
      </c>
      <c r="H152" s="112">
        <f t="shared" ref="H152:H177" si="49">IF(F152&lt;&gt;"",VLOOKUP(F152,A$15:D$375,2,FALSE),0)</f>
        <v>2</v>
      </c>
      <c r="I152" s="320" t="b">
        <f>AND(G152&lt;=H152,G153&lt;=H153)</f>
        <v>0</v>
      </c>
      <c r="J152" s="301" t="str">
        <f>IF(B152="ja",A152&amp;" ("&amp;C152&amp;")","")</f>
        <v/>
      </c>
      <c r="L152" s="140" t="str">
        <f t="shared" si="46"/>
        <v/>
      </c>
      <c r="M152" s="140" t="str">
        <f t="shared" si="48"/>
        <v/>
      </c>
    </row>
    <row r="153" spans="1:16" ht="15" customHeight="1" outlineLevel="1" x14ac:dyDescent="0.25">
      <c r="A153" s="329"/>
      <c r="B153" s="330"/>
      <c r="C153" s="308"/>
      <c r="D153" s="308"/>
      <c r="E153" s="43"/>
      <c r="F153" s="115" t="s">
        <v>207</v>
      </c>
      <c r="G153" s="116">
        <v>1</v>
      </c>
      <c r="H153" s="112">
        <f t="shared" si="49"/>
        <v>0</v>
      </c>
      <c r="I153" s="321"/>
      <c r="J153" s="302"/>
      <c r="L153" s="140" t="str">
        <f t="shared" si="46"/>
        <v/>
      </c>
      <c r="M153" s="140" t="str">
        <f t="shared" si="48"/>
        <v/>
      </c>
    </row>
    <row r="154" spans="1:16" ht="75" customHeight="1" outlineLevel="1" x14ac:dyDescent="0.25">
      <c r="A154" s="122" t="s">
        <v>456</v>
      </c>
      <c r="B154" s="211" t="s">
        <v>375</v>
      </c>
      <c r="C154" s="307" t="s">
        <v>457</v>
      </c>
      <c r="D154" s="308"/>
      <c r="E154" s="43"/>
      <c r="F154" s="115" t="s">
        <v>177</v>
      </c>
      <c r="G154" s="116">
        <v>4</v>
      </c>
      <c r="H154" s="112">
        <f t="shared" si="49"/>
        <v>2</v>
      </c>
      <c r="I154" s="121" t="b">
        <f t="shared" ref="I154" si="50">G154&lt;=H154</f>
        <v>0</v>
      </c>
      <c r="J154" s="150" t="str">
        <f t="shared" ref="J154:J157" si="51">IF(B154="ja",A154&amp;" ("&amp;C154&amp;")","")</f>
        <v/>
      </c>
      <c r="L154" s="140" t="str">
        <f t="shared" si="46"/>
        <v/>
      </c>
      <c r="M154" s="140" t="str">
        <f t="shared" si="48"/>
        <v/>
      </c>
      <c r="N154" s="139"/>
      <c r="O154" s="29"/>
      <c r="P154" s="29"/>
    </row>
    <row r="155" spans="1:16" ht="45" customHeight="1" outlineLevel="1" x14ac:dyDescent="0.25">
      <c r="A155" s="122" t="s">
        <v>458</v>
      </c>
      <c r="B155" s="211" t="s">
        <v>375</v>
      </c>
      <c r="C155" s="314" t="s">
        <v>463</v>
      </c>
      <c r="D155" s="308"/>
      <c r="E155" s="43"/>
      <c r="F155" s="115" t="s">
        <v>468</v>
      </c>
      <c r="G155" s="116" t="s">
        <v>310</v>
      </c>
      <c r="H155" s="112" t="str">
        <f t="shared" si="49"/>
        <v>nein</v>
      </c>
      <c r="I155" s="121" t="b">
        <f t="shared" ref="I155:I156" si="52">G155&lt;=H155</f>
        <v>1</v>
      </c>
      <c r="J155" s="150" t="str">
        <f t="shared" si="51"/>
        <v/>
      </c>
      <c r="L155" s="140" t="str">
        <f t="shared" si="46"/>
        <v/>
      </c>
      <c r="M155" s="140" t="str">
        <f t="shared" si="48"/>
        <v/>
      </c>
      <c r="N155" s="139"/>
      <c r="O155" s="29"/>
      <c r="P155" s="29"/>
    </row>
    <row r="156" spans="1:16" ht="30" customHeight="1" outlineLevel="1" x14ac:dyDescent="0.25">
      <c r="A156" s="122" t="s">
        <v>459</v>
      </c>
      <c r="B156" s="211" t="s">
        <v>375</v>
      </c>
      <c r="C156" s="307" t="s">
        <v>464</v>
      </c>
      <c r="D156" s="308"/>
      <c r="E156" s="43"/>
      <c r="F156" s="115" t="s">
        <v>26</v>
      </c>
      <c r="G156" s="116">
        <v>4</v>
      </c>
      <c r="H156" s="112">
        <f t="shared" si="49"/>
        <v>2</v>
      </c>
      <c r="I156" s="121" t="b">
        <f t="shared" si="52"/>
        <v>0</v>
      </c>
      <c r="J156" s="150" t="str">
        <f t="shared" si="51"/>
        <v/>
      </c>
      <c r="L156" s="140" t="str">
        <f t="shared" si="46"/>
        <v/>
      </c>
      <c r="M156" s="140" t="str">
        <f t="shared" si="48"/>
        <v/>
      </c>
      <c r="N156" s="139"/>
      <c r="O156" s="29"/>
      <c r="P156" s="29"/>
    </row>
    <row r="157" spans="1:16" ht="15" customHeight="1" outlineLevel="1" x14ac:dyDescent="0.25">
      <c r="A157" s="327" t="s">
        <v>460</v>
      </c>
      <c r="B157" s="330" t="s">
        <v>375</v>
      </c>
      <c r="C157" s="308" t="s">
        <v>465</v>
      </c>
      <c r="D157" s="308"/>
      <c r="E157" s="43"/>
      <c r="F157" s="115" t="s">
        <v>27</v>
      </c>
      <c r="G157" s="116">
        <v>4</v>
      </c>
      <c r="H157" s="112">
        <f t="shared" si="49"/>
        <v>2</v>
      </c>
      <c r="I157" s="320" t="b">
        <f>AND(G157&lt;=H157,G158&lt;=H158)</f>
        <v>0</v>
      </c>
      <c r="J157" s="301" t="str">
        <f t="shared" si="51"/>
        <v/>
      </c>
      <c r="L157" s="140" t="str">
        <f t="shared" si="46"/>
        <v/>
      </c>
      <c r="M157" s="140" t="str">
        <f t="shared" si="48"/>
        <v/>
      </c>
    </row>
    <row r="158" spans="1:16" ht="15" customHeight="1" outlineLevel="1" x14ac:dyDescent="0.25">
      <c r="A158" s="329"/>
      <c r="B158" s="330"/>
      <c r="C158" s="308"/>
      <c r="D158" s="308"/>
      <c r="E158" s="43"/>
      <c r="F158" s="115" t="s">
        <v>201</v>
      </c>
      <c r="G158" s="116">
        <v>1</v>
      </c>
      <c r="H158" s="112">
        <f t="shared" si="49"/>
        <v>0</v>
      </c>
      <c r="I158" s="321"/>
      <c r="J158" s="302"/>
      <c r="L158" s="140" t="str">
        <f t="shared" si="46"/>
        <v/>
      </c>
      <c r="M158" s="140" t="str">
        <f t="shared" si="48"/>
        <v/>
      </c>
    </row>
    <row r="159" spans="1:16" ht="24" customHeight="1" outlineLevel="1" x14ac:dyDescent="0.25">
      <c r="A159" s="327" t="s">
        <v>461</v>
      </c>
      <c r="B159" s="330" t="s">
        <v>375</v>
      </c>
      <c r="C159" s="308" t="s">
        <v>466</v>
      </c>
      <c r="D159" s="308"/>
      <c r="E159" s="43"/>
      <c r="F159" s="115" t="s">
        <v>27</v>
      </c>
      <c r="G159" s="116">
        <v>5</v>
      </c>
      <c r="H159" s="112">
        <f t="shared" si="49"/>
        <v>2</v>
      </c>
      <c r="I159" s="320" t="b">
        <f>AND(G159&lt;=H159,G160&lt;=H160)</f>
        <v>0</v>
      </c>
      <c r="J159" s="301" t="str">
        <f t="shared" ref="J159" si="53">IF(B159="ja",A159&amp;" ("&amp;C159&amp;")","")</f>
        <v/>
      </c>
      <c r="L159" s="140" t="str">
        <f t="shared" si="46"/>
        <v/>
      </c>
      <c r="M159" s="140" t="str">
        <f t="shared" si="48"/>
        <v/>
      </c>
    </row>
    <row r="160" spans="1:16" ht="24" customHeight="1" outlineLevel="1" x14ac:dyDescent="0.25">
      <c r="A160" s="329"/>
      <c r="B160" s="330"/>
      <c r="C160" s="308"/>
      <c r="D160" s="308"/>
      <c r="E160" s="43"/>
      <c r="F160" s="115" t="s">
        <v>460</v>
      </c>
      <c r="G160" s="116" t="s">
        <v>310</v>
      </c>
      <c r="H160" s="112" t="str">
        <f t="shared" si="49"/>
        <v>nein</v>
      </c>
      <c r="I160" s="321"/>
      <c r="J160" s="302"/>
      <c r="L160" s="140" t="str">
        <f t="shared" si="46"/>
        <v/>
      </c>
      <c r="M160" s="140" t="str">
        <f t="shared" si="48"/>
        <v/>
      </c>
    </row>
    <row r="161" spans="1:16" ht="24" customHeight="1" outlineLevel="1" x14ac:dyDescent="0.25">
      <c r="A161" s="327" t="s">
        <v>462</v>
      </c>
      <c r="B161" s="330" t="s">
        <v>375</v>
      </c>
      <c r="C161" s="308" t="s">
        <v>467</v>
      </c>
      <c r="D161" s="308"/>
      <c r="E161" s="43"/>
      <c r="F161" s="115" t="s">
        <v>27</v>
      </c>
      <c r="G161" s="116">
        <v>6</v>
      </c>
      <c r="H161" s="112">
        <f t="shared" si="49"/>
        <v>2</v>
      </c>
      <c r="I161" s="320" t="b">
        <f>AND(G161&lt;=H161,G162&lt;=H162)</f>
        <v>0</v>
      </c>
      <c r="J161" s="301" t="str">
        <f t="shared" ref="J161" si="54">IF(B161="ja",A161&amp;" ("&amp;C161&amp;")","")</f>
        <v/>
      </c>
      <c r="L161" s="140" t="str">
        <f t="shared" si="46"/>
        <v/>
      </c>
      <c r="M161" s="140" t="str">
        <f t="shared" si="48"/>
        <v/>
      </c>
    </row>
    <row r="162" spans="1:16" ht="24" customHeight="1" outlineLevel="1" x14ac:dyDescent="0.25">
      <c r="A162" s="329"/>
      <c r="B162" s="330"/>
      <c r="C162" s="308"/>
      <c r="D162" s="308"/>
      <c r="E162" s="43"/>
      <c r="F162" s="115" t="s">
        <v>461</v>
      </c>
      <c r="G162" s="116" t="s">
        <v>310</v>
      </c>
      <c r="H162" s="112" t="str">
        <f t="shared" si="49"/>
        <v>nein</v>
      </c>
      <c r="I162" s="321"/>
      <c r="J162" s="302"/>
      <c r="L162" s="140" t="str">
        <f t="shared" si="46"/>
        <v/>
      </c>
      <c r="M162" s="140" t="str">
        <f t="shared" si="48"/>
        <v/>
      </c>
    </row>
    <row r="163" spans="1:16" ht="15" customHeight="1" outlineLevel="1" x14ac:dyDescent="0.25">
      <c r="A163" s="327" t="s">
        <v>472</v>
      </c>
      <c r="B163" s="330" t="s">
        <v>375</v>
      </c>
      <c r="C163" s="308" t="s">
        <v>469</v>
      </c>
      <c r="D163" s="308"/>
      <c r="E163" s="43"/>
      <c r="F163" s="115" t="s">
        <v>27</v>
      </c>
      <c r="G163" s="116">
        <v>4</v>
      </c>
      <c r="H163" s="112">
        <f t="shared" si="49"/>
        <v>2</v>
      </c>
      <c r="I163" s="320" t="b">
        <f>AND(G163&lt;=H163,G164&lt;=H164)</f>
        <v>0</v>
      </c>
      <c r="J163" s="301" t="str">
        <f t="shared" ref="J163" si="55">IF(B163="ja",A163&amp;" ("&amp;C163&amp;")","")</f>
        <v/>
      </c>
      <c r="L163" s="140" t="str">
        <f t="shared" si="46"/>
        <v/>
      </c>
      <c r="M163" s="140" t="str">
        <f t="shared" si="48"/>
        <v/>
      </c>
    </row>
    <row r="164" spans="1:16" ht="15" customHeight="1" outlineLevel="1" x14ac:dyDescent="0.25">
      <c r="A164" s="329"/>
      <c r="B164" s="330"/>
      <c r="C164" s="308"/>
      <c r="D164" s="308"/>
      <c r="E164" s="43"/>
      <c r="F164" s="115" t="s">
        <v>202</v>
      </c>
      <c r="G164" s="116">
        <v>2</v>
      </c>
      <c r="H164" s="112">
        <f t="shared" si="49"/>
        <v>0</v>
      </c>
      <c r="I164" s="321"/>
      <c r="J164" s="302"/>
      <c r="L164" s="140" t="str">
        <f t="shared" si="46"/>
        <v/>
      </c>
      <c r="M164" s="140" t="str">
        <f t="shared" si="48"/>
        <v/>
      </c>
    </row>
    <row r="165" spans="1:16" ht="24" customHeight="1" outlineLevel="1" x14ac:dyDescent="0.25">
      <c r="A165" s="327" t="s">
        <v>473</v>
      </c>
      <c r="B165" s="330" t="s">
        <v>375</v>
      </c>
      <c r="C165" s="308" t="s">
        <v>470</v>
      </c>
      <c r="D165" s="308"/>
      <c r="E165" s="43"/>
      <c r="F165" s="115" t="s">
        <v>27</v>
      </c>
      <c r="G165" s="116">
        <v>5</v>
      </c>
      <c r="H165" s="112">
        <f t="shared" si="49"/>
        <v>2</v>
      </c>
      <c r="I165" s="320" t="b">
        <f>AND(G165&lt;=H165,G166&lt;=H166)</f>
        <v>0</v>
      </c>
      <c r="J165" s="301" t="str">
        <f t="shared" ref="J165" si="56">IF(B165="ja",A165&amp;" ("&amp;C165&amp;")","")</f>
        <v/>
      </c>
      <c r="L165" s="140" t="str">
        <f t="shared" si="46"/>
        <v/>
      </c>
      <c r="M165" s="140" t="str">
        <f t="shared" si="48"/>
        <v/>
      </c>
    </row>
    <row r="166" spans="1:16" ht="24" customHeight="1" outlineLevel="1" x14ac:dyDescent="0.25">
      <c r="A166" s="329"/>
      <c r="B166" s="330"/>
      <c r="C166" s="308"/>
      <c r="D166" s="308"/>
      <c r="E166" s="43"/>
      <c r="F166" s="115" t="s">
        <v>472</v>
      </c>
      <c r="G166" s="116" t="s">
        <v>310</v>
      </c>
      <c r="H166" s="112" t="str">
        <f t="shared" si="49"/>
        <v>nein</v>
      </c>
      <c r="I166" s="321"/>
      <c r="J166" s="302"/>
      <c r="L166" s="140" t="str">
        <f t="shared" si="46"/>
        <v/>
      </c>
      <c r="M166" s="140" t="str">
        <f t="shared" si="48"/>
        <v/>
      </c>
    </row>
    <row r="167" spans="1:16" ht="15" customHeight="1" outlineLevel="1" x14ac:dyDescent="0.25">
      <c r="A167" s="327" t="s">
        <v>568</v>
      </c>
      <c r="B167" s="330" t="s">
        <v>375</v>
      </c>
      <c r="C167" s="308" t="s">
        <v>471</v>
      </c>
      <c r="D167" s="308"/>
      <c r="E167" s="43"/>
      <c r="F167" s="115" t="s">
        <v>27</v>
      </c>
      <c r="G167" s="116">
        <v>6</v>
      </c>
      <c r="H167" s="112">
        <f t="shared" si="49"/>
        <v>2</v>
      </c>
      <c r="I167" s="320" t="b">
        <f>AND(G167&lt;=H167,G168&lt;=H168)</f>
        <v>0</v>
      </c>
      <c r="J167" s="301" t="str">
        <f t="shared" ref="J167:J170" si="57">IF(B167="ja",A167&amp;" ("&amp;C167&amp;")","")</f>
        <v/>
      </c>
      <c r="L167" s="140" t="str">
        <f t="shared" si="46"/>
        <v/>
      </c>
      <c r="M167" s="140" t="str">
        <f t="shared" si="48"/>
        <v/>
      </c>
    </row>
    <row r="168" spans="1:16" ht="15" customHeight="1" outlineLevel="1" x14ac:dyDescent="0.25">
      <c r="A168" s="329"/>
      <c r="B168" s="330"/>
      <c r="C168" s="308"/>
      <c r="D168" s="308"/>
      <c r="E168" s="43"/>
      <c r="F168" s="115" t="s">
        <v>473</v>
      </c>
      <c r="G168" s="116" t="s">
        <v>310</v>
      </c>
      <c r="H168" s="112" t="str">
        <f t="shared" si="49"/>
        <v>nein</v>
      </c>
      <c r="I168" s="321"/>
      <c r="J168" s="302"/>
      <c r="L168" s="140" t="str">
        <f t="shared" si="46"/>
        <v/>
      </c>
      <c r="M168" s="140" t="str">
        <f t="shared" si="48"/>
        <v/>
      </c>
    </row>
    <row r="169" spans="1:16" ht="30" customHeight="1" outlineLevel="1" x14ac:dyDescent="0.25">
      <c r="A169" s="122" t="s">
        <v>474</v>
      </c>
      <c r="B169" s="211" t="s">
        <v>375</v>
      </c>
      <c r="C169" s="314" t="s">
        <v>475</v>
      </c>
      <c r="D169" s="308"/>
      <c r="E169" s="43"/>
      <c r="F169" s="115" t="s">
        <v>172</v>
      </c>
      <c r="G169" s="116">
        <v>4</v>
      </c>
      <c r="H169" s="112">
        <f t="shared" si="49"/>
        <v>2</v>
      </c>
      <c r="I169" s="121" t="b">
        <f t="shared" ref="I169" si="58">G169&lt;=H169</f>
        <v>0</v>
      </c>
      <c r="J169" s="150" t="str">
        <f t="shared" ref="J169" si="59">IF(B169="ja",A169&amp;" ("&amp;C169&amp;")","")</f>
        <v/>
      </c>
      <c r="L169" s="140" t="str">
        <f t="shared" si="46"/>
        <v/>
      </c>
      <c r="M169" s="140" t="str">
        <f t="shared" si="48"/>
        <v/>
      </c>
      <c r="N169" s="139"/>
      <c r="O169" s="29"/>
      <c r="P169" s="29"/>
    </row>
    <row r="170" spans="1:16" ht="15" customHeight="1" outlineLevel="1" x14ac:dyDescent="0.25">
      <c r="A170" s="327" t="s">
        <v>476</v>
      </c>
      <c r="B170" s="330" t="s">
        <v>375</v>
      </c>
      <c r="C170" s="308" t="s">
        <v>479</v>
      </c>
      <c r="D170" s="308"/>
      <c r="E170" s="43"/>
      <c r="F170" s="115" t="s">
        <v>27</v>
      </c>
      <c r="G170" s="116">
        <v>4</v>
      </c>
      <c r="H170" s="112">
        <f t="shared" si="49"/>
        <v>2</v>
      </c>
      <c r="I170" s="320" t="b">
        <f>AND(G170&lt;=H170,G171&lt;=H171)</f>
        <v>0</v>
      </c>
      <c r="J170" s="301" t="str">
        <f t="shared" si="57"/>
        <v/>
      </c>
      <c r="L170" s="140" t="str">
        <f t="shared" si="46"/>
        <v/>
      </c>
      <c r="M170" s="140" t="str">
        <f t="shared" si="48"/>
        <v/>
      </c>
    </row>
    <row r="171" spans="1:16" ht="15" customHeight="1" outlineLevel="1" x14ac:dyDescent="0.25">
      <c r="A171" s="329"/>
      <c r="B171" s="330"/>
      <c r="C171" s="308"/>
      <c r="D171" s="308"/>
      <c r="E171" s="43"/>
      <c r="F171" s="115" t="s">
        <v>203</v>
      </c>
      <c r="G171" s="116">
        <v>1</v>
      </c>
      <c r="H171" s="112">
        <f t="shared" si="49"/>
        <v>0</v>
      </c>
      <c r="I171" s="321"/>
      <c r="J171" s="302"/>
      <c r="L171" s="140" t="str">
        <f t="shared" si="46"/>
        <v/>
      </c>
      <c r="M171" s="140" t="str">
        <f t="shared" si="48"/>
        <v/>
      </c>
    </row>
    <row r="172" spans="1:16" ht="15" customHeight="1" outlineLevel="1" x14ac:dyDescent="0.25">
      <c r="A172" s="336" t="s">
        <v>477</v>
      </c>
      <c r="B172" s="333" t="s">
        <v>375</v>
      </c>
      <c r="C172" s="307" t="s">
        <v>480</v>
      </c>
      <c r="D172" s="308"/>
      <c r="E172" s="43"/>
      <c r="F172" s="115" t="s">
        <v>27</v>
      </c>
      <c r="G172" s="116">
        <v>4</v>
      </c>
      <c r="H172" s="112">
        <f t="shared" si="49"/>
        <v>2</v>
      </c>
      <c r="I172" s="320" t="b">
        <f>AND(G172&lt;=H172,G173&lt;=H173,G174&lt;=H174)</f>
        <v>0</v>
      </c>
      <c r="J172" s="301" t="str">
        <f>IF(B172="ja",A172&amp;" ("&amp;C172&amp;")","")</f>
        <v/>
      </c>
      <c r="L172" s="140" t="str">
        <f t="shared" si="46"/>
        <v/>
      </c>
      <c r="M172" s="140" t="str">
        <f t="shared" si="48"/>
        <v/>
      </c>
    </row>
    <row r="173" spans="1:16" ht="15" customHeight="1" outlineLevel="1" x14ac:dyDescent="0.25">
      <c r="A173" s="338"/>
      <c r="B173" s="339"/>
      <c r="C173" s="307"/>
      <c r="D173" s="308"/>
      <c r="E173" s="43"/>
      <c r="F173" s="115" t="s">
        <v>203</v>
      </c>
      <c r="G173" s="116">
        <v>3</v>
      </c>
      <c r="H173" s="112">
        <f t="shared" si="49"/>
        <v>0</v>
      </c>
      <c r="I173" s="322"/>
      <c r="J173" s="303"/>
      <c r="L173" s="140" t="str">
        <f t="shared" si="46"/>
        <v/>
      </c>
      <c r="M173" s="140" t="str">
        <f t="shared" si="48"/>
        <v/>
      </c>
    </row>
    <row r="174" spans="1:16" ht="15" customHeight="1" outlineLevel="1" x14ac:dyDescent="0.25">
      <c r="A174" s="337"/>
      <c r="B174" s="334"/>
      <c r="C174" s="307"/>
      <c r="D174" s="308"/>
      <c r="E174" s="43"/>
      <c r="F174" s="115" t="s">
        <v>476</v>
      </c>
      <c r="G174" s="116" t="s">
        <v>310</v>
      </c>
      <c r="H174" s="112" t="str">
        <f t="shared" si="49"/>
        <v>nein</v>
      </c>
      <c r="I174" s="321"/>
      <c r="J174" s="302"/>
      <c r="L174" s="140" t="str">
        <f t="shared" si="46"/>
        <v/>
      </c>
      <c r="M174" s="140" t="str">
        <f t="shared" si="48"/>
        <v/>
      </c>
    </row>
    <row r="175" spans="1:16" ht="15" customHeight="1" outlineLevel="1" x14ac:dyDescent="0.25">
      <c r="A175" s="327" t="s">
        <v>478</v>
      </c>
      <c r="B175" s="330" t="s">
        <v>375</v>
      </c>
      <c r="C175" s="308" t="s">
        <v>481</v>
      </c>
      <c r="D175" s="308"/>
      <c r="E175" s="43"/>
      <c r="F175" s="115" t="s">
        <v>27</v>
      </c>
      <c r="G175" s="116">
        <v>5</v>
      </c>
      <c r="H175" s="112">
        <f t="shared" si="49"/>
        <v>2</v>
      </c>
      <c r="I175" s="320" t="b">
        <f>AND(G175&lt;=H175,G176&lt;=H176,G177&lt;=H177)</f>
        <v>0</v>
      </c>
      <c r="J175" s="301" t="str">
        <f>IF(B175="ja",A175&amp;" ("&amp;C175&amp;")","")</f>
        <v/>
      </c>
      <c r="L175" s="140" t="str">
        <f t="shared" si="46"/>
        <v/>
      </c>
      <c r="M175" s="140" t="str">
        <f t="shared" si="48"/>
        <v/>
      </c>
    </row>
    <row r="176" spans="1:16" ht="15" customHeight="1" outlineLevel="1" x14ac:dyDescent="0.25">
      <c r="A176" s="328"/>
      <c r="B176" s="330"/>
      <c r="C176" s="308"/>
      <c r="D176" s="308"/>
      <c r="E176" s="43"/>
      <c r="F176" s="115" t="s">
        <v>203</v>
      </c>
      <c r="G176" s="116">
        <v>5</v>
      </c>
      <c r="H176" s="112">
        <f t="shared" si="49"/>
        <v>0</v>
      </c>
      <c r="I176" s="322"/>
      <c r="J176" s="303"/>
      <c r="L176" s="140" t="str">
        <f t="shared" si="46"/>
        <v/>
      </c>
      <c r="M176" s="140" t="str">
        <f t="shared" si="48"/>
        <v/>
      </c>
    </row>
    <row r="177" spans="1:16" ht="15" customHeight="1" outlineLevel="1" x14ac:dyDescent="0.25">
      <c r="A177" s="329"/>
      <c r="B177" s="330"/>
      <c r="C177" s="308"/>
      <c r="D177" s="308"/>
      <c r="E177" s="113"/>
      <c r="F177" s="115" t="s">
        <v>477</v>
      </c>
      <c r="G177" s="116" t="s">
        <v>310</v>
      </c>
      <c r="H177" s="112" t="str">
        <f t="shared" si="49"/>
        <v>nein</v>
      </c>
      <c r="I177" s="321"/>
      <c r="J177" s="302"/>
      <c r="L177" s="140" t="str">
        <f t="shared" si="46"/>
        <v/>
      </c>
      <c r="M177" s="140" t="str">
        <f t="shared" si="48"/>
        <v/>
      </c>
    </row>
    <row r="178" spans="1:16" ht="15" customHeight="1" outlineLevel="1" x14ac:dyDescent="0.25">
      <c r="A178" s="122" t="s">
        <v>482</v>
      </c>
      <c r="B178" s="211" t="s">
        <v>375</v>
      </c>
      <c r="C178" s="314" t="s">
        <v>483</v>
      </c>
      <c r="D178" s="308"/>
      <c r="E178" s="43"/>
      <c r="F178" s="115"/>
      <c r="G178" s="116"/>
      <c r="H178" s="155"/>
      <c r="I178" s="153" t="b">
        <v>1</v>
      </c>
      <c r="J178" s="150" t="str">
        <f t="shared" ref="J178:J179" si="60">IF(B178="ja",A178&amp;" ("&amp;C178&amp;")","")</f>
        <v/>
      </c>
      <c r="L178" s="140" t="str">
        <f t="shared" si="46"/>
        <v/>
      </c>
      <c r="M178" s="140" t="str">
        <f t="shared" si="48"/>
        <v/>
      </c>
      <c r="N178" s="139"/>
      <c r="O178" s="29"/>
      <c r="P178" s="29"/>
    </row>
    <row r="179" spans="1:16" ht="15" customHeight="1" outlineLevel="1" x14ac:dyDescent="0.25">
      <c r="A179" s="327" t="s">
        <v>484</v>
      </c>
      <c r="B179" s="330" t="s">
        <v>375</v>
      </c>
      <c r="C179" s="308" t="s">
        <v>485</v>
      </c>
      <c r="D179" s="308"/>
      <c r="E179" s="43"/>
      <c r="F179" s="115" t="s">
        <v>27</v>
      </c>
      <c r="G179" s="116">
        <v>3</v>
      </c>
      <c r="H179" s="112">
        <f t="shared" ref="H179:H210" si="61">IF(F179&lt;&gt;"",VLOOKUP(F179,A$15:D$375,2,FALSE),0)</f>
        <v>2</v>
      </c>
      <c r="I179" s="320" t="b">
        <f>AND(G179&lt;=H179,G180&lt;=H180)</f>
        <v>0</v>
      </c>
      <c r="J179" s="301" t="str">
        <f t="shared" si="60"/>
        <v/>
      </c>
      <c r="L179" s="140" t="str">
        <f t="shared" si="46"/>
        <v/>
      </c>
      <c r="M179" s="140" t="str">
        <f t="shared" si="48"/>
        <v/>
      </c>
    </row>
    <row r="180" spans="1:16" ht="15" customHeight="1" outlineLevel="1" x14ac:dyDescent="0.25">
      <c r="A180" s="329"/>
      <c r="B180" s="330"/>
      <c r="C180" s="308"/>
      <c r="D180" s="308"/>
      <c r="E180" s="43"/>
      <c r="F180" s="115" t="s">
        <v>204</v>
      </c>
      <c r="G180" s="116">
        <v>1</v>
      </c>
      <c r="H180" s="112">
        <f t="shared" si="61"/>
        <v>0</v>
      </c>
      <c r="I180" s="321"/>
      <c r="J180" s="302"/>
      <c r="L180" s="140" t="str">
        <f t="shared" si="46"/>
        <v/>
      </c>
      <c r="M180" s="140" t="str">
        <f t="shared" si="48"/>
        <v/>
      </c>
    </row>
    <row r="181" spans="1:16" ht="15" customHeight="1" outlineLevel="1" x14ac:dyDescent="0.25">
      <c r="A181" s="327" t="s">
        <v>486</v>
      </c>
      <c r="B181" s="330" t="s">
        <v>375</v>
      </c>
      <c r="C181" s="308" t="s">
        <v>489</v>
      </c>
      <c r="D181" s="308"/>
      <c r="E181" s="43"/>
      <c r="F181" s="115" t="s">
        <v>27</v>
      </c>
      <c r="G181" s="116">
        <v>4</v>
      </c>
      <c r="H181" s="112">
        <f t="shared" si="61"/>
        <v>2</v>
      </c>
      <c r="I181" s="320" t="b">
        <f>AND(G181&lt;=H181,G182&lt;=H182)</f>
        <v>0</v>
      </c>
      <c r="J181" s="301" t="str">
        <f t="shared" ref="J181" si="62">IF(B181="ja",A181&amp;" ("&amp;C181&amp;")","")</f>
        <v/>
      </c>
      <c r="L181" s="140" t="str">
        <f t="shared" si="46"/>
        <v/>
      </c>
      <c r="M181" s="140" t="str">
        <f t="shared" si="48"/>
        <v/>
      </c>
    </row>
    <row r="182" spans="1:16" ht="15" customHeight="1" outlineLevel="1" x14ac:dyDescent="0.25">
      <c r="A182" s="329"/>
      <c r="B182" s="330"/>
      <c r="C182" s="308"/>
      <c r="D182" s="308"/>
      <c r="E182" s="43"/>
      <c r="F182" s="115" t="s">
        <v>205</v>
      </c>
      <c r="G182" s="116">
        <v>2</v>
      </c>
      <c r="H182" s="112">
        <f t="shared" si="61"/>
        <v>0</v>
      </c>
      <c r="I182" s="321"/>
      <c r="J182" s="302"/>
      <c r="L182" s="140" t="str">
        <f t="shared" si="46"/>
        <v/>
      </c>
      <c r="M182" s="140" t="str">
        <f t="shared" si="48"/>
        <v/>
      </c>
    </row>
    <row r="183" spans="1:16" ht="15" customHeight="1" outlineLevel="1" x14ac:dyDescent="0.25">
      <c r="A183" s="336" t="s">
        <v>487</v>
      </c>
      <c r="B183" s="333" t="s">
        <v>375</v>
      </c>
      <c r="C183" s="307" t="s">
        <v>490</v>
      </c>
      <c r="D183" s="308"/>
      <c r="E183" s="43"/>
      <c r="F183" s="115" t="s">
        <v>27</v>
      </c>
      <c r="G183" s="116">
        <v>5</v>
      </c>
      <c r="H183" s="112">
        <f t="shared" si="61"/>
        <v>2</v>
      </c>
      <c r="I183" s="320" t="b">
        <f>AND(G183&lt;=H183,G184&lt;=H184,G185&lt;=H185)</f>
        <v>0</v>
      </c>
      <c r="J183" s="301" t="str">
        <f>IF(B183="ja",A183&amp;" ("&amp;C183&amp;")","")</f>
        <v/>
      </c>
      <c r="L183" s="140" t="str">
        <f t="shared" si="46"/>
        <v/>
      </c>
      <c r="M183" s="140" t="str">
        <f t="shared" si="48"/>
        <v/>
      </c>
    </row>
    <row r="184" spans="1:16" ht="15" customHeight="1" outlineLevel="1" x14ac:dyDescent="0.25">
      <c r="A184" s="338"/>
      <c r="B184" s="339"/>
      <c r="C184" s="307"/>
      <c r="D184" s="308"/>
      <c r="E184" s="43"/>
      <c r="F184" s="115" t="s">
        <v>205</v>
      </c>
      <c r="G184" s="116">
        <v>3</v>
      </c>
      <c r="H184" s="112">
        <f t="shared" si="61"/>
        <v>0</v>
      </c>
      <c r="I184" s="322"/>
      <c r="J184" s="303"/>
      <c r="L184" s="140" t="str">
        <f t="shared" si="46"/>
        <v/>
      </c>
      <c r="M184" s="140" t="str">
        <f t="shared" si="48"/>
        <v/>
      </c>
    </row>
    <row r="185" spans="1:16" ht="15" customHeight="1" outlineLevel="1" x14ac:dyDescent="0.25">
      <c r="A185" s="337"/>
      <c r="B185" s="334"/>
      <c r="C185" s="307"/>
      <c r="D185" s="308"/>
      <c r="E185" s="43"/>
      <c r="F185" s="115" t="s">
        <v>486</v>
      </c>
      <c r="G185" s="116" t="s">
        <v>310</v>
      </c>
      <c r="H185" s="112" t="str">
        <f t="shared" si="61"/>
        <v>nein</v>
      </c>
      <c r="I185" s="321"/>
      <c r="J185" s="302"/>
      <c r="L185" s="140" t="str">
        <f t="shared" si="46"/>
        <v/>
      </c>
      <c r="M185" s="140" t="str">
        <f t="shared" si="48"/>
        <v/>
      </c>
    </row>
    <row r="186" spans="1:16" ht="15" customHeight="1" outlineLevel="1" x14ac:dyDescent="0.25">
      <c r="A186" s="327" t="s">
        <v>488</v>
      </c>
      <c r="B186" s="330" t="s">
        <v>375</v>
      </c>
      <c r="C186" s="308" t="s">
        <v>491</v>
      </c>
      <c r="D186" s="308"/>
      <c r="E186" s="43"/>
      <c r="F186" s="115" t="s">
        <v>27</v>
      </c>
      <c r="G186" s="116">
        <v>6</v>
      </c>
      <c r="H186" s="112">
        <f t="shared" si="61"/>
        <v>2</v>
      </c>
      <c r="I186" s="320" t="b">
        <f>AND(G186&lt;=H186,G187&lt;=H187,G188&lt;=H188)</f>
        <v>0</v>
      </c>
      <c r="J186" s="301" t="str">
        <f>IF(B186="ja",A186&amp;" ("&amp;C186&amp;")","")</f>
        <v/>
      </c>
      <c r="L186" s="140" t="str">
        <f t="shared" si="46"/>
        <v/>
      </c>
      <c r="M186" s="140" t="str">
        <f t="shared" si="48"/>
        <v/>
      </c>
    </row>
    <row r="187" spans="1:16" ht="15" customHeight="1" outlineLevel="1" x14ac:dyDescent="0.25">
      <c r="A187" s="328"/>
      <c r="B187" s="330"/>
      <c r="C187" s="308"/>
      <c r="D187" s="308"/>
      <c r="E187" s="43"/>
      <c r="F187" s="115" t="s">
        <v>205</v>
      </c>
      <c r="G187" s="116">
        <v>4</v>
      </c>
      <c r="H187" s="112">
        <f t="shared" si="61"/>
        <v>0</v>
      </c>
      <c r="I187" s="322"/>
      <c r="J187" s="303"/>
      <c r="L187" s="140" t="str">
        <f t="shared" si="46"/>
        <v/>
      </c>
      <c r="M187" s="140" t="str">
        <f t="shared" si="48"/>
        <v/>
      </c>
    </row>
    <row r="188" spans="1:16" ht="15" customHeight="1" outlineLevel="1" x14ac:dyDescent="0.25">
      <c r="A188" s="329"/>
      <c r="B188" s="330"/>
      <c r="C188" s="308"/>
      <c r="D188" s="308"/>
      <c r="E188" s="113"/>
      <c r="F188" s="115" t="s">
        <v>487</v>
      </c>
      <c r="G188" s="116" t="s">
        <v>310</v>
      </c>
      <c r="H188" s="112" t="str">
        <f t="shared" si="61"/>
        <v>nein</v>
      </c>
      <c r="I188" s="321"/>
      <c r="J188" s="302"/>
      <c r="L188" s="140" t="str">
        <f t="shared" si="46"/>
        <v/>
      </c>
      <c r="M188" s="140" t="str">
        <f t="shared" si="48"/>
        <v/>
      </c>
    </row>
    <row r="189" spans="1:16" ht="15" customHeight="1" outlineLevel="1" x14ac:dyDescent="0.25">
      <c r="A189" s="327" t="s">
        <v>492</v>
      </c>
      <c r="B189" s="330" t="s">
        <v>375</v>
      </c>
      <c r="C189" s="308" t="s">
        <v>495</v>
      </c>
      <c r="D189" s="308"/>
      <c r="E189" s="43"/>
      <c r="F189" s="115" t="s">
        <v>27</v>
      </c>
      <c r="G189" s="116">
        <v>3</v>
      </c>
      <c r="H189" s="112">
        <f t="shared" si="61"/>
        <v>2</v>
      </c>
      <c r="I189" s="320" t="b">
        <f>AND(G189&lt;=H189,G190&lt;=H190)</f>
        <v>0</v>
      </c>
      <c r="J189" s="301" t="str">
        <f t="shared" ref="J189:J196" si="63">IF(B189="ja",A189&amp;" ("&amp;C189&amp;")","")</f>
        <v/>
      </c>
      <c r="L189" s="140" t="str">
        <f t="shared" si="46"/>
        <v/>
      </c>
      <c r="M189" s="140" t="str">
        <f t="shared" si="48"/>
        <v/>
      </c>
    </row>
    <row r="190" spans="1:16" ht="15" customHeight="1" outlineLevel="1" x14ac:dyDescent="0.25">
      <c r="A190" s="329"/>
      <c r="B190" s="330"/>
      <c r="C190" s="308"/>
      <c r="D190" s="308"/>
      <c r="E190" s="43"/>
      <c r="F190" s="115" t="s">
        <v>206</v>
      </c>
      <c r="G190" s="116">
        <v>1</v>
      </c>
      <c r="H190" s="112">
        <f t="shared" si="61"/>
        <v>0</v>
      </c>
      <c r="I190" s="321"/>
      <c r="J190" s="302"/>
      <c r="L190" s="140" t="str">
        <f t="shared" si="46"/>
        <v/>
      </c>
      <c r="M190" s="140" t="str">
        <f t="shared" si="48"/>
        <v/>
      </c>
    </row>
    <row r="191" spans="1:16" ht="60" customHeight="1" outlineLevel="1" x14ac:dyDescent="0.25">
      <c r="A191" s="126" t="s">
        <v>493</v>
      </c>
      <c r="B191" s="213" t="s">
        <v>375</v>
      </c>
      <c r="C191" s="314" t="s">
        <v>496</v>
      </c>
      <c r="D191" s="308"/>
      <c r="E191" s="43"/>
      <c r="F191" s="115" t="s">
        <v>492</v>
      </c>
      <c r="G191" s="116" t="s">
        <v>310</v>
      </c>
      <c r="H191" s="112" t="str">
        <f t="shared" si="61"/>
        <v>nein</v>
      </c>
      <c r="I191" s="121" t="b">
        <f t="shared" ref="I191" si="64">G191&lt;=H191</f>
        <v>1</v>
      </c>
      <c r="J191" s="150" t="str">
        <f t="shared" ref="J191" si="65">IF(B191="ja",A191&amp;" ("&amp;C191&amp;")","")</f>
        <v/>
      </c>
      <c r="L191" s="140" t="str">
        <f t="shared" si="46"/>
        <v/>
      </c>
      <c r="M191" s="140" t="str">
        <f t="shared" si="48"/>
        <v/>
      </c>
    </row>
    <row r="192" spans="1:16" ht="15" customHeight="1" outlineLevel="1" x14ac:dyDescent="0.25">
      <c r="A192" s="336" t="s">
        <v>494</v>
      </c>
      <c r="B192" s="330" t="s">
        <v>375</v>
      </c>
      <c r="C192" s="308" t="s">
        <v>497</v>
      </c>
      <c r="D192" s="308"/>
      <c r="E192" s="43"/>
      <c r="F192" s="115" t="s">
        <v>24</v>
      </c>
      <c r="G192" s="116">
        <v>5</v>
      </c>
      <c r="H192" s="112">
        <f t="shared" si="61"/>
        <v>2</v>
      </c>
      <c r="I192" s="320" t="b">
        <f>AND(G192&lt;=H192,G193&lt;=H193)</f>
        <v>0</v>
      </c>
      <c r="J192" s="301" t="str">
        <f t="shared" si="63"/>
        <v/>
      </c>
      <c r="L192" s="140" t="str">
        <f t="shared" si="46"/>
        <v/>
      </c>
      <c r="M192" s="140" t="str">
        <f t="shared" si="48"/>
        <v/>
      </c>
    </row>
    <row r="193" spans="1:16" ht="15" customHeight="1" outlineLevel="1" x14ac:dyDescent="0.25">
      <c r="A193" s="337"/>
      <c r="B193" s="330"/>
      <c r="C193" s="308"/>
      <c r="D193" s="308"/>
      <c r="E193" s="43"/>
      <c r="F193" s="115" t="s">
        <v>493</v>
      </c>
      <c r="G193" s="116">
        <v>4</v>
      </c>
      <c r="H193" s="112" t="str">
        <f t="shared" si="61"/>
        <v>nein</v>
      </c>
      <c r="I193" s="321"/>
      <c r="J193" s="302"/>
      <c r="L193" s="140" t="str">
        <f t="shared" si="46"/>
        <v/>
      </c>
      <c r="M193" s="140" t="str">
        <f t="shared" si="48"/>
        <v/>
      </c>
    </row>
    <row r="194" spans="1:16" ht="15" customHeight="1" outlineLevel="1" x14ac:dyDescent="0.25">
      <c r="A194" s="327" t="s">
        <v>498</v>
      </c>
      <c r="B194" s="330" t="s">
        <v>375</v>
      </c>
      <c r="C194" s="308" t="s">
        <v>499</v>
      </c>
      <c r="D194" s="308"/>
      <c r="E194" s="43"/>
      <c r="F194" s="115" t="s">
        <v>172</v>
      </c>
      <c r="G194" s="116">
        <v>4</v>
      </c>
      <c r="H194" s="112">
        <f t="shared" si="61"/>
        <v>2</v>
      </c>
      <c r="I194" s="320" t="b">
        <f>AND(G194&lt;=H194,G195&lt;=H195)</f>
        <v>0</v>
      </c>
      <c r="J194" s="301" t="str">
        <f t="shared" si="63"/>
        <v/>
      </c>
      <c r="L194" s="140" t="str">
        <f t="shared" si="46"/>
        <v/>
      </c>
      <c r="M194" s="140" t="str">
        <f t="shared" si="48"/>
        <v/>
      </c>
    </row>
    <row r="195" spans="1:16" ht="15" customHeight="1" outlineLevel="1" x14ac:dyDescent="0.25">
      <c r="A195" s="329"/>
      <c r="B195" s="330"/>
      <c r="C195" s="308"/>
      <c r="D195" s="308"/>
      <c r="E195" s="43"/>
      <c r="F195" s="115" t="s">
        <v>216</v>
      </c>
      <c r="G195" s="116">
        <v>2</v>
      </c>
      <c r="H195" s="112">
        <f t="shared" si="61"/>
        <v>0</v>
      </c>
      <c r="I195" s="321"/>
      <c r="J195" s="302"/>
      <c r="L195" s="140" t="str">
        <f t="shared" si="46"/>
        <v/>
      </c>
      <c r="M195" s="140" t="str">
        <f t="shared" si="48"/>
        <v/>
      </c>
    </row>
    <row r="196" spans="1:16" ht="15" customHeight="1" outlineLevel="1" x14ac:dyDescent="0.25">
      <c r="A196" s="327" t="s">
        <v>503</v>
      </c>
      <c r="B196" s="330" t="s">
        <v>375</v>
      </c>
      <c r="C196" s="308" t="s">
        <v>500</v>
      </c>
      <c r="D196" s="308"/>
      <c r="E196" s="43"/>
      <c r="F196" s="115" t="s">
        <v>27</v>
      </c>
      <c r="G196" s="116">
        <v>4</v>
      </c>
      <c r="H196" s="112">
        <f t="shared" si="61"/>
        <v>2</v>
      </c>
      <c r="I196" s="320" t="b">
        <f>AND(G196&lt;=H196,G197&lt;=H197)</f>
        <v>0</v>
      </c>
      <c r="J196" s="301" t="str">
        <f t="shared" si="63"/>
        <v/>
      </c>
      <c r="L196" s="140" t="str">
        <f t="shared" si="46"/>
        <v/>
      </c>
      <c r="M196" s="140" t="str">
        <f t="shared" si="48"/>
        <v/>
      </c>
    </row>
    <row r="197" spans="1:16" ht="15" customHeight="1" outlineLevel="1" x14ac:dyDescent="0.25">
      <c r="A197" s="329"/>
      <c r="B197" s="330"/>
      <c r="C197" s="308"/>
      <c r="D197" s="308"/>
      <c r="E197" s="43"/>
      <c r="F197" s="115" t="s">
        <v>502</v>
      </c>
      <c r="G197" s="116">
        <v>2</v>
      </c>
      <c r="H197" s="112">
        <f t="shared" si="61"/>
        <v>0</v>
      </c>
      <c r="I197" s="321"/>
      <c r="J197" s="302"/>
      <c r="L197" s="140" t="str">
        <f t="shared" si="46"/>
        <v/>
      </c>
      <c r="M197" s="140" t="str">
        <f t="shared" si="48"/>
        <v/>
      </c>
    </row>
    <row r="198" spans="1:16" ht="60" customHeight="1" outlineLevel="1" x14ac:dyDescent="0.25">
      <c r="A198" s="126" t="s">
        <v>504</v>
      </c>
      <c r="B198" s="213" t="s">
        <v>375</v>
      </c>
      <c r="C198" s="314" t="s">
        <v>501</v>
      </c>
      <c r="D198" s="308"/>
      <c r="E198" s="43"/>
      <c r="F198" s="115" t="s">
        <v>503</v>
      </c>
      <c r="G198" s="116" t="s">
        <v>310</v>
      </c>
      <c r="H198" s="112" t="str">
        <f t="shared" si="61"/>
        <v>nein</v>
      </c>
      <c r="I198" s="121" t="b">
        <f t="shared" ref="I198" si="66">G198&lt;=H198</f>
        <v>1</v>
      </c>
      <c r="J198" s="150" t="str">
        <f t="shared" ref="J198:J201" si="67">IF(B198="ja",A198&amp;" ("&amp;C198&amp;")","")</f>
        <v/>
      </c>
      <c r="L198" s="140" t="str">
        <f t="shared" si="46"/>
        <v/>
      </c>
      <c r="M198" s="140" t="str">
        <f t="shared" si="48"/>
        <v/>
      </c>
    </row>
    <row r="199" spans="1:16" ht="15" customHeight="1" outlineLevel="1" x14ac:dyDescent="0.25">
      <c r="A199" s="336" t="s">
        <v>505</v>
      </c>
      <c r="B199" s="330" t="s">
        <v>375</v>
      </c>
      <c r="C199" s="308" t="s">
        <v>467</v>
      </c>
      <c r="D199" s="308"/>
      <c r="E199" s="43"/>
      <c r="F199" s="115" t="s">
        <v>27</v>
      </c>
      <c r="G199" s="116">
        <v>5</v>
      </c>
      <c r="H199" s="120">
        <f t="shared" si="61"/>
        <v>2</v>
      </c>
      <c r="I199" s="320" t="b">
        <f>AND(G199&lt;=H199,G200&lt;=H200)</f>
        <v>0</v>
      </c>
      <c r="J199" s="301" t="str">
        <f t="shared" si="67"/>
        <v/>
      </c>
      <c r="L199" s="140" t="str">
        <f t="shared" si="46"/>
        <v/>
      </c>
      <c r="M199" s="140" t="str">
        <f t="shared" si="48"/>
        <v/>
      </c>
    </row>
    <row r="200" spans="1:16" ht="15" customHeight="1" outlineLevel="1" x14ac:dyDescent="0.25">
      <c r="A200" s="337"/>
      <c r="B200" s="330"/>
      <c r="C200" s="308"/>
      <c r="D200" s="308"/>
      <c r="E200" s="43"/>
      <c r="F200" s="115" t="s">
        <v>504</v>
      </c>
      <c r="G200" s="116">
        <v>4</v>
      </c>
      <c r="H200" s="120" t="str">
        <f t="shared" si="61"/>
        <v>nein</v>
      </c>
      <c r="I200" s="321"/>
      <c r="J200" s="302"/>
      <c r="L200" s="140" t="str">
        <f t="shared" si="46"/>
        <v/>
      </c>
      <c r="M200" s="140" t="str">
        <f t="shared" si="48"/>
        <v/>
      </c>
    </row>
    <row r="201" spans="1:16" ht="30" customHeight="1" outlineLevel="1" x14ac:dyDescent="0.25">
      <c r="A201" s="122" t="s">
        <v>506</v>
      </c>
      <c r="B201" s="211" t="s">
        <v>375</v>
      </c>
      <c r="C201" s="314" t="s">
        <v>507</v>
      </c>
      <c r="D201" s="308"/>
      <c r="E201" s="43"/>
      <c r="F201" s="115" t="s">
        <v>172</v>
      </c>
      <c r="G201" s="116">
        <v>5</v>
      </c>
      <c r="H201" s="120">
        <f t="shared" si="61"/>
        <v>2</v>
      </c>
      <c r="I201" s="121" t="b">
        <f>G201&lt;=H201</f>
        <v>0</v>
      </c>
      <c r="J201" s="150" t="str">
        <f t="shared" si="67"/>
        <v/>
      </c>
      <c r="L201" s="140" t="str">
        <f t="shared" si="46"/>
        <v/>
      </c>
      <c r="M201" s="140" t="str">
        <f t="shared" si="48"/>
        <v/>
      </c>
      <c r="N201" s="139"/>
      <c r="O201" s="29"/>
      <c r="P201" s="29"/>
    </row>
    <row r="202" spans="1:16" ht="15" customHeight="1" outlineLevel="1" x14ac:dyDescent="0.25">
      <c r="A202" s="327" t="s">
        <v>509</v>
      </c>
      <c r="B202" s="330" t="s">
        <v>375</v>
      </c>
      <c r="C202" s="308" t="s">
        <v>510</v>
      </c>
      <c r="D202" s="308"/>
      <c r="E202" s="43"/>
      <c r="F202" s="115" t="s">
        <v>27</v>
      </c>
      <c r="G202" s="116">
        <v>3</v>
      </c>
      <c r="H202" s="120">
        <f t="shared" si="61"/>
        <v>2</v>
      </c>
      <c r="I202" s="320" t="b">
        <f>AND(G202&lt;=H202,G203&lt;=H203,G204&lt;=H204,G205&lt;=H205)</f>
        <v>0</v>
      </c>
      <c r="J202" s="301" t="str">
        <f>IF(B202="ja",A202&amp;" ("&amp;C202&amp;")","")</f>
        <v/>
      </c>
      <c r="L202" s="140" t="str">
        <f t="shared" si="46"/>
        <v/>
      </c>
      <c r="M202" s="140" t="str">
        <f t="shared" si="48"/>
        <v/>
      </c>
    </row>
    <row r="203" spans="1:16" ht="15" customHeight="1" outlineLevel="1" x14ac:dyDescent="0.25">
      <c r="A203" s="328"/>
      <c r="B203" s="330"/>
      <c r="C203" s="308"/>
      <c r="D203" s="308"/>
      <c r="E203" s="43"/>
      <c r="F203" s="115" t="s">
        <v>206</v>
      </c>
      <c r="G203" s="116">
        <v>1</v>
      </c>
      <c r="H203" s="120">
        <f t="shared" si="61"/>
        <v>0</v>
      </c>
      <c r="I203" s="322"/>
      <c r="J203" s="303"/>
      <c r="L203" s="140" t="str">
        <f t="shared" si="46"/>
        <v/>
      </c>
      <c r="M203" s="140" t="str">
        <f t="shared" si="48"/>
        <v/>
      </c>
    </row>
    <row r="204" spans="1:16" ht="15" customHeight="1" outlineLevel="1" x14ac:dyDescent="0.25">
      <c r="A204" s="328"/>
      <c r="B204" s="330"/>
      <c r="C204" s="308"/>
      <c r="D204" s="308"/>
      <c r="E204" s="43"/>
      <c r="F204" s="115" t="s">
        <v>28</v>
      </c>
      <c r="G204" s="116">
        <v>3</v>
      </c>
      <c r="H204" s="120">
        <f t="shared" si="61"/>
        <v>2</v>
      </c>
      <c r="I204" s="322"/>
      <c r="J204" s="303"/>
      <c r="L204" s="140" t="str">
        <f t="shared" si="46"/>
        <v/>
      </c>
      <c r="M204" s="140" t="str">
        <f t="shared" si="48"/>
        <v/>
      </c>
    </row>
    <row r="205" spans="1:16" ht="15" customHeight="1" outlineLevel="1" x14ac:dyDescent="0.25">
      <c r="A205" s="329"/>
      <c r="B205" s="330"/>
      <c r="C205" s="308"/>
      <c r="D205" s="308"/>
      <c r="E205" s="113"/>
      <c r="F205" s="115" t="s">
        <v>219</v>
      </c>
      <c r="G205" s="116">
        <v>1</v>
      </c>
      <c r="H205" s="120">
        <f t="shared" si="61"/>
        <v>0</v>
      </c>
      <c r="I205" s="321"/>
      <c r="J205" s="302"/>
      <c r="L205" s="140" t="str">
        <f t="shared" si="46"/>
        <v/>
      </c>
      <c r="M205" s="140" t="str">
        <f t="shared" si="48"/>
        <v/>
      </c>
    </row>
    <row r="206" spans="1:16" ht="30" customHeight="1" outlineLevel="1" x14ac:dyDescent="0.25">
      <c r="A206" s="122" t="s">
        <v>511</v>
      </c>
      <c r="B206" s="211" t="s">
        <v>375</v>
      </c>
      <c r="C206" s="314" t="s">
        <v>513</v>
      </c>
      <c r="D206" s="308"/>
      <c r="E206" s="43"/>
      <c r="F206" s="115" t="s">
        <v>482</v>
      </c>
      <c r="G206" s="116" t="s">
        <v>310</v>
      </c>
      <c r="H206" s="120" t="str">
        <f t="shared" si="61"/>
        <v>nein</v>
      </c>
      <c r="I206" s="121" t="b">
        <f t="shared" ref="I206:I207" si="68">G206&lt;=H206</f>
        <v>1</v>
      </c>
      <c r="J206" s="150" t="str">
        <f t="shared" ref="J206:J207" si="69">IF(B206="ja",A206&amp;" ("&amp;C206&amp;")","")</f>
        <v/>
      </c>
      <c r="L206" s="140" t="str">
        <f t="shared" si="46"/>
        <v/>
      </c>
      <c r="M206" s="140" t="str">
        <f t="shared" si="48"/>
        <v/>
      </c>
      <c r="N206" s="139"/>
      <c r="O206" s="29"/>
      <c r="P206" s="29"/>
    </row>
    <row r="207" spans="1:16" ht="30" customHeight="1" outlineLevel="1" x14ac:dyDescent="0.25">
      <c r="A207" s="122" t="s">
        <v>512</v>
      </c>
      <c r="B207" s="211" t="s">
        <v>375</v>
      </c>
      <c r="C207" s="314" t="s">
        <v>514</v>
      </c>
      <c r="D207" s="308"/>
      <c r="E207" s="43"/>
      <c r="F207" s="115" t="s">
        <v>515</v>
      </c>
      <c r="G207" s="116" t="s">
        <v>310</v>
      </c>
      <c r="H207" s="120">
        <f t="shared" si="61"/>
        <v>0</v>
      </c>
      <c r="I207" s="121" t="b">
        <f t="shared" si="68"/>
        <v>0</v>
      </c>
      <c r="J207" s="150" t="str">
        <f t="shared" si="69"/>
        <v/>
      </c>
      <c r="L207" s="140" t="str">
        <f t="shared" si="46"/>
        <v/>
      </c>
      <c r="M207" s="140" t="str">
        <f t="shared" si="48"/>
        <v/>
      </c>
      <c r="N207" s="139"/>
      <c r="O207" s="29"/>
      <c r="P207" s="29"/>
    </row>
    <row r="208" spans="1:16" ht="15" customHeight="1" outlineLevel="1" x14ac:dyDescent="0.25">
      <c r="A208" s="327" t="s">
        <v>516</v>
      </c>
      <c r="B208" s="330" t="s">
        <v>375</v>
      </c>
      <c r="C208" s="308" t="s">
        <v>517</v>
      </c>
      <c r="D208" s="308"/>
      <c r="E208" s="43"/>
      <c r="F208" s="115" t="s">
        <v>26</v>
      </c>
      <c r="G208" s="116">
        <v>4</v>
      </c>
      <c r="H208" s="120">
        <f t="shared" si="61"/>
        <v>2</v>
      </c>
      <c r="I208" s="320" t="b">
        <f>AND(G208&lt;=H208,G209&lt;=H209,G210&lt;=H210)</f>
        <v>0</v>
      </c>
      <c r="J208" s="301" t="str">
        <f>IF(B208="ja",A208&amp;" ("&amp;C208&amp;")","")</f>
        <v/>
      </c>
      <c r="L208" s="140" t="str">
        <f t="shared" si="46"/>
        <v/>
      </c>
      <c r="M208" s="140" t="str">
        <f t="shared" si="48"/>
        <v/>
      </c>
    </row>
    <row r="209" spans="1:14" ht="15" customHeight="1" outlineLevel="1" x14ac:dyDescent="0.25">
      <c r="A209" s="328"/>
      <c r="B209" s="330"/>
      <c r="C209" s="308"/>
      <c r="D209" s="308"/>
      <c r="E209" s="43"/>
      <c r="F209" s="115" t="s">
        <v>27</v>
      </c>
      <c r="G209" s="116">
        <v>5</v>
      </c>
      <c r="H209" s="120">
        <f t="shared" si="61"/>
        <v>2</v>
      </c>
      <c r="I209" s="322"/>
      <c r="J209" s="303"/>
      <c r="L209" s="140" t="str">
        <f t="shared" si="46"/>
        <v/>
      </c>
      <c r="M209" s="140" t="str">
        <f t="shared" si="48"/>
        <v/>
      </c>
    </row>
    <row r="210" spans="1:14" ht="15" customHeight="1" outlineLevel="1" thickBot="1" x14ac:dyDescent="0.3">
      <c r="A210" s="329"/>
      <c r="B210" s="330"/>
      <c r="C210" s="308"/>
      <c r="D210" s="308"/>
      <c r="E210" s="113"/>
      <c r="F210" s="115" t="s">
        <v>171</v>
      </c>
      <c r="G210" s="116">
        <v>4</v>
      </c>
      <c r="H210" s="120">
        <f t="shared" si="61"/>
        <v>2</v>
      </c>
      <c r="I210" s="321"/>
      <c r="J210" s="302"/>
      <c r="L210" s="140" t="str">
        <f t="shared" si="46"/>
        <v/>
      </c>
      <c r="M210" s="140" t="str">
        <f t="shared" si="48"/>
        <v/>
      </c>
    </row>
    <row r="211" spans="1:14" ht="15" customHeight="1" outlineLevel="1" x14ac:dyDescent="0.25">
      <c r="A211" s="331" t="s">
        <v>515</v>
      </c>
      <c r="B211" s="211"/>
      <c r="C211" s="307" t="s">
        <v>514</v>
      </c>
      <c r="D211" s="308"/>
      <c r="E211" s="313" t="s">
        <v>376</v>
      </c>
      <c r="F211" s="313"/>
      <c r="G211" s="313"/>
      <c r="H211" s="323"/>
      <c r="I211" s="153" t="b">
        <v>1</v>
      </c>
      <c r="J211" s="301" t="str">
        <f>IF(COUNTA(B211:B217)&gt;0,A211&amp;" in "&amp;RIGHT(N217,LEN(N217)-2)&amp;" ("&amp;C211&amp;")","")</f>
        <v/>
      </c>
      <c r="L211" s="140" t="str">
        <f t="shared" si="46"/>
        <v/>
      </c>
      <c r="M211" s="140" t="str">
        <f t="shared" si="48"/>
        <v/>
      </c>
      <c r="N211" s="141" t="str">
        <f>IF(B211&lt;&gt;"",", "&amp;B211,"")</f>
        <v/>
      </c>
    </row>
    <row r="212" spans="1:14" ht="15" customHeight="1" outlineLevel="1" x14ac:dyDescent="0.25">
      <c r="A212" s="335"/>
      <c r="B212" s="211"/>
      <c r="C212" s="307"/>
      <c r="D212" s="308"/>
      <c r="E212" s="313"/>
      <c r="F212" s="313"/>
      <c r="G212" s="313"/>
      <c r="H212" s="324"/>
      <c r="I212" s="153" t="b">
        <f>I211</f>
        <v>1</v>
      </c>
      <c r="J212" s="303"/>
      <c r="L212" s="140" t="str">
        <f t="shared" si="46"/>
        <v/>
      </c>
      <c r="M212" s="140" t="str">
        <f t="shared" si="48"/>
        <v/>
      </c>
      <c r="N212" s="142" t="str">
        <f>IF(B212&lt;&gt;"",N211&amp;", "&amp;B212,N211)</f>
        <v/>
      </c>
    </row>
    <row r="213" spans="1:14" ht="15" customHeight="1" outlineLevel="1" x14ac:dyDescent="0.25">
      <c r="A213" s="335"/>
      <c r="B213" s="211"/>
      <c r="C213" s="307"/>
      <c r="D213" s="308"/>
      <c r="E213" s="313"/>
      <c r="F213" s="313"/>
      <c r="G213" s="313"/>
      <c r="H213" s="324"/>
      <c r="I213" s="153" t="b">
        <f t="shared" ref="I213:I217" si="70">I212</f>
        <v>1</v>
      </c>
      <c r="J213" s="303"/>
      <c r="L213" s="140" t="str">
        <f t="shared" ref="L213:L257" si="71">IF(J213="",L212,L212&amp;", "&amp;A213)</f>
        <v/>
      </c>
      <c r="M213" s="140" t="str">
        <f t="shared" si="48"/>
        <v/>
      </c>
      <c r="N213" s="142" t="str">
        <f t="shared" ref="N213:N217" si="72">IF(B213&lt;&gt;"",N212&amp;", "&amp;B213,N212)</f>
        <v/>
      </c>
    </row>
    <row r="214" spans="1:14" ht="15" customHeight="1" outlineLevel="1" x14ac:dyDescent="0.25">
      <c r="A214" s="335"/>
      <c r="B214" s="211"/>
      <c r="C214" s="307"/>
      <c r="D214" s="308"/>
      <c r="E214" s="313"/>
      <c r="F214" s="313"/>
      <c r="G214" s="313"/>
      <c r="H214" s="324"/>
      <c r="I214" s="153" t="b">
        <f t="shared" si="70"/>
        <v>1</v>
      </c>
      <c r="J214" s="303"/>
      <c r="L214" s="140" t="str">
        <f t="shared" si="71"/>
        <v/>
      </c>
      <c r="M214" s="140" t="str">
        <f t="shared" si="48"/>
        <v/>
      </c>
      <c r="N214" s="142" t="str">
        <f t="shared" si="72"/>
        <v/>
      </c>
    </row>
    <row r="215" spans="1:14" ht="15" customHeight="1" outlineLevel="1" x14ac:dyDescent="0.25">
      <c r="A215" s="335"/>
      <c r="B215" s="211"/>
      <c r="C215" s="307" t="s">
        <v>597</v>
      </c>
      <c r="D215" s="308"/>
      <c r="E215" s="313"/>
      <c r="F215" s="313"/>
      <c r="G215" s="313"/>
      <c r="H215" s="324"/>
      <c r="I215" s="153" t="b">
        <f t="shared" si="70"/>
        <v>1</v>
      </c>
      <c r="J215" s="303"/>
      <c r="L215" s="140" t="str">
        <f t="shared" si="71"/>
        <v/>
      </c>
      <c r="M215" s="140" t="str">
        <f t="shared" ref="M215:M217" si="73">IF(J215="",M214,M214&amp;", "&amp;J215)</f>
        <v/>
      </c>
      <c r="N215" s="142" t="str">
        <f t="shared" si="72"/>
        <v/>
      </c>
    </row>
    <row r="216" spans="1:14" ht="15" customHeight="1" outlineLevel="1" x14ac:dyDescent="0.25">
      <c r="A216" s="335"/>
      <c r="B216" s="211"/>
      <c r="C216" s="307"/>
      <c r="D216" s="308"/>
      <c r="E216" s="313"/>
      <c r="F216" s="313"/>
      <c r="G216" s="313"/>
      <c r="H216" s="324"/>
      <c r="I216" s="153" t="b">
        <f t="shared" si="70"/>
        <v>1</v>
      </c>
      <c r="J216" s="303"/>
      <c r="L216" s="140" t="str">
        <f t="shared" si="71"/>
        <v/>
      </c>
      <c r="M216" s="140" t="str">
        <f t="shared" si="73"/>
        <v/>
      </c>
      <c r="N216" s="142" t="str">
        <f t="shared" si="72"/>
        <v/>
      </c>
    </row>
    <row r="217" spans="1:14" ht="15" customHeight="1" outlineLevel="1" thickBot="1" x14ac:dyDescent="0.3">
      <c r="A217" s="332"/>
      <c r="B217" s="211"/>
      <c r="C217" s="307"/>
      <c r="D217" s="308"/>
      <c r="E217" s="313"/>
      <c r="F217" s="313"/>
      <c r="G217" s="313"/>
      <c r="H217" s="325"/>
      <c r="I217" s="153" t="b">
        <f t="shared" si="70"/>
        <v>1</v>
      </c>
      <c r="J217" s="302"/>
      <c r="L217" s="140" t="str">
        <f t="shared" si="71"/>
        <v/>
      </c>
      <c r="M217" s="140" t="str">
        <f t="shared" si="73"/>
        <v/>
      </c>
      <c r="N217" s="143" t="str">
        <f t="shared" si="72"/>
        <v/>
      </c>
    </row>
    <row r="218" spans="1:14" ht="23.1" customHeight="1" outlineLevel="1" x14ac:dyDescent="0.25">
      <c r="A218" s="327" t="s">
        <v>518</v>
      </c>
      <c r="B218" s="330" t="s">
        <v>375</v>
      </c>
      <c r="C218" s="308" t="s">
        <v>521</v>
      </c>
      <c r="D218" s="308"/>
      <c r="E218" s="43"/>
      <c r="F218" s="115" t="s">
        <v>27</v>
      </c>
      <c r="G218" s="116">
        <v>3</v>
      </c>
      <c r="H218" s="120">
        <f t="shared" ref="H218:H224" si="74">IF(F218&lt;&gt;"",VLOOKUP(F218,A$15:D$375,2,FALSE),0)</f>
        <v>2</v>
      </c>
      <c r="I218" s="320" t="b">
        <f>AND(G218&lt;=H218,G219&lt;=H219)</f>
        <v>0</v>
      </c>
      <c r="J218" s="301" t="str">
        <f t="shared" ref="J218" si="75">IF(B218="ja",A218&amp;" ("&amp;C218&amp;")","")</f>
        <v/>
      </c>
      <c r="L218" s="140" t="str">
        <f t="shared" si="71"/>
        <v/>
      </c>
      <c r="M218" s="140" t="str">
        <f t="shared" ref="M218:M257" si="76">IF(J218="",M217,M217&amp;", "&amp;J218)</f>
        <v/>
      </c>
    </row>
    <row r="219" spans="1:14" ht="23.1" customHeight="1" outlineLevel="1" x14ac:dyDescent="0.25">
      <c r="A219" s="329"/>
      <c r="B219" s="330"/>
      <c r="C219" s="308"/>
      <c r="D219" s="308"/>
      <c r="E219" s="43"/>
      <c r="F219" s="115" t="s">
        <v>200</v>
      </c>
      <c r="G219" s="116">
        <v>1</v>
      </c>
      <c r="H219" s="120">
        <f t="shared" si="74"/>
        <v>0</v>
      </c>
      <c r="I219" s="321"/>
      <c r="J219" s="302"/>
      <c r="L219" s="140" t="str">
        <f t="shared" si="71"/>
        <v/>
      </c>
      <c r="M219" s="140" t="str">
        <f t="shared" si="76"/>
        <v/>
      </c>
    </row>
    <row r="220" spans="1:14" ht="45" customHeight="1" outlineLevel="1" x14ac:dyDescent="0.25">
      <c r="A220" s="126" t="s">
        <v>519</v>
      </c>
      <c r="B220" s="213" t="s">
        <v>375</v>
      </c>
      <c r="C220" s="314" t="s">
        <v>522</v>
      </c>
      <c r="D220" s="308"/>
      <c r="E220" s="43"/>
      <c r="F220" s="115" t="s">
        <v>518</v>
      </c>
      <c r="G220" s="116" t="s">
        <v>310</v>
      </c>
      <c r="H220" s="120" t="str">
        <f t="shared" si="74"/>
        <v>nein</v>
      </c>
      <c r="I220" s="121" t="b">
        <f t="shared" ref="I220:I222" si="77">G220&lt;=H220</f>
        <v>1</v>
      </c>
      <c r="J220" s="150" t="str">
        <f t="shared" ref="J220:J222" si="78">IF(B220="ja",A220&amp;" ("&amp;C220&amp;")","")</f>
        <v/>
      </c>
      <c r="L220" s="140" t="str">
        <f t="shared" si="71"/>
        <v/>
      </c>
      <c r="M220" s="140" t="str">
        <f t="shared" si="76"/>
        <v/>
      </c>
    </row>
    <row r="221" spans="1:14" ht="30" customHeight="1" outlineLevel="1" x14ac:dyDescent="0.25">
      <c r="A221" s="127" t="s">
        <v>520</v>
      </c>
      <c r="B221" s="211" t="s">
        <v>375</v>
      </c>
      <c r="C221" s="308" t="s">
        <v>523</v>
      </c>
      <c r="D221" s="308"/>
      <c r="E221" s="43"/>
      <c r="F221" s="115" t="s">
        <v>519</v>
      </c>
      <c r="G221" s="116" t="s">
        <v>310</v>
      </c>
      <c r="H221" s="120" t="str">
        <f t="shared" si="74"/>
        <v>nein</v>
      </c>
      <c r="I221" s="121" t="b">
        <f t="shared" si="77"/>
        <v>1</v>
      </c>
      <c r="J221" s="150" t="str">
        <f t="shared" si="78"/>
        <v/>
      </c>
      <c r="L221" s="140" t="str">
        <f t="shared" si="71"/>
        <v/>
      </c>
      <c r="M221" s="140" t="str">
        <f t="shared" si="76"/>
        <v/>
      </c>
    </row>
    <row r="222" spans="1:14" ht="30" customHeight="1" outlineLevel="1" x14ac:dyDescent="0.25">
      <c r="A222" s="127" t="s">
        <v>524</v>
      </c>
      <c r="B222" s="211" t="s">
        <v>375</v>
      </c>
      <c r="C222" s="308" t="s">
        <v>526</v>
      </c>
      <c r="D222" s="308"/>
      <c r="E222" s="43"/>
      <c r="F222" s="115" t="s">
        <v>528</v>
      </c>
      <c r="G222" s="116">
        <v>1</v>
      </c>
      <c r="H222" s="120">
        <f t="shared" si="74"/>
        <v>0</v>
      </c>
      <c r="I222" s="121" t="b">
        <f t="shared" si="77"/>
        <v>0</v>
      </c>
      <c r="J222" s="150" t="str">
        <f t="shared" si="78"/>
        <v/>
      </c>
      <c r="L222" s="140" t="str">
        <f t="shared" si="71"/>
        <v/>
      </c>
      <c r="M222" s="140" t="str">
        <f t="shared" si="76"/>
        <v/>
      </c>
    </row>
    <row r="223" spans="1:14" ht="23.1" customHeight="1" outlineLevel="1" x14ac:dyDescent="0.25">
      <c r="A223" s="327" t="s">
        <v>525</v>
      </c>
      <c r="B223" s="330" t="s">
        <v>375</v>
      </c>
      <c r="C223" s="315" t="s">
        <v>527</v>
      </c>
      <c r="D223" s="308"/>
      <c r="E223" s="43"/>
      <c r="F223" s="115" t="s">
        <v>24</v>
      </c>
      <c r="G223" s="116">
        <v>4</v>
      </c>
      <c r="H223" s="120">
        <f t="shared" si="74"/>
        <v>2</v>
      </c>
      <c r="I223" s="320" t="b">
        <f>AND(G223&lt;=H223,G224&lt;=H224)</f>
        <v>0</v>
      </c>
      <c r="J223" s="301" t="str">
        <f t="shared" ref="J223" si="79">IF(B223="ja",A223&amp;" ("&amp;C223&amp;")","")</f>
        <v/>
      </c>
      <c r="L223" s="140" t="str">
        <f t="shared" si="71"/>
        <v/>
      </c>
      <c r="M223" s="140" t="str">
        <f t="shared" si="76"/>
        <v/>
      </c>
    </row>
    <row r="224" spans="1:14" ht="23.1" customHeight="1" outlineLevel="1" x14ac:dyDescent="0.25">
      <c r="A224" s="329"/>
      <c r="B224" s="330"/>
      <c r="C224" s="308"/>
      <c r="D224" s="308"/>
      <c r="E224" s="43"/>
      <c r="F224" s="115" t="s">
        <v>185</v>
      </c>
      <c r="G224" s="116">
        <v>2</v>
      </c>
      <c r="H224" s="120" t="str">
        <f t="shared" si="74"/>
        <v>nein</v>
      </c>
      <c r="I224" s="321"/>
      <c r="J224" s="302"/>
      <c r="L224" s="140" t="str">
        <f t="shared" si="71"/>
        <v/>
      </c>
      <c r="M224" s="140" t="str">
        <f t="shared" si="76"/>
        <v/>
      </c>
    </row>
    <row r="225" spans="1:16" ht="15" customHeight="1" x14ac:dyDescent="0.25">
      <c r="A225" s="53" t="s">
        <v>294</v>
      </c>
      <c r="B225" s="151"/>
      <c r="C225" s="17"/>
      <c r="D225" s="17"/>
      <c r="E225" s="113"/>
      <c r="F225" s="115"/>
      <c r="G225" s="116"/>
      <c r="H225" s="116"/>
      <c r="I225" s="153"/>
      <c r="J225" s="134"/>
      <c r="L225" s="140" t="str">
        <f t="shared" si="71"/>
        <v/>
      </c>
      <c r="M225" s="140" t="str">
        <f t="shared" si="76"/>
        <v/>
      </c>
    </row>
    <row r="226" spans="1:16" ht="33" customHeight="1" outlineLevel="1" x14ac:dyDescent="0.25">
      <c r="A226" s="122" t="s">
        <v>529</v>
      </c>
      <c r="B226" s="211" t="s">
        <v>375</v>
      </c>
      <c r="C226" s="307" t="s">
        <v>531</v>
      </c>
      <c r="D226" s="308"/>
      <c r="E226" s="116"/>
      <c r="F226" s="115"/>
      <c r="G226" s="116"/>
      <c r="H226" s="151"/>
      <c r="I226" s="153" t="b">
        <v>1</v>
      </c>
      <c r="J226" s="150" t="str">
        <f t="shared" ref="J226:J229" si="80">IF(B226="ja",A226&amp;" ("&amp;C226&amp;")","")</f>
        <v/>
      </c>
      <c r="L226" s="140" t="str">
        <f t="shared" si="71"/>
        <v/>
      </c>
      <c r="M226" s="140" t="str">
        <f t="shared" si="76"/>
        <v/>
      </c>
    </row>
    <row r="227" spans="1:16" ht="54" customHeight="1" outlineLevel="1" x14ac:dyDescent="0.25">
      <c r="A227" s="122" t="s">
        <v>530</v>
      </c>
      <c r="B227" s="211" t="s">
        <v>375</v>
      </c>
      <c r="C227" s="307" t="s">
        <v>532</v>
      </c>
      <c r="D227" s="308"/>
      <c r="E227" s="348" t="str">
        <f>IF('1. Allgemeines'!H21="ja","Wurde bereits bei Allgemeines vorausgewählt, bitte hier nicht noch einmal auswählen!","")</f>
        <v/>
      </c>
      <c r="F227" s="348"/>
      <c r="G227" s="348"/>
      <c r="H227" s="348"/>
      <c r="I227" s="153" t="b">
        <v>1</v>
      </c>
      <c r="J227" s="150" t="str">
        <f>IF(OR('1. Allgemeines'!H21="ja",B227="ja"),A227&amp;" ("&amp;C227&amp;")","")</f>
        <v/>
      </c>
      <c r="L227" s="140" t="str">
        <f t="shared" si="71"/>
        <v/>
      </c>
      <c r="M227" s="140" t="str">
        <f t="shared" si="76"/>
        <v/>
      </c>
    </row>
    <row r="228" spans="1:16" ht="33" customHeight="1" outlineLevel="1" x14ac:dyDescent="0.25">
      <c r="A228" s="122" t="s">
        <v>66</v>
      </c>
      <c r="B228" s="211" t="s">
        <v>375</v>
      </c>
      <c r="C228" s="307" t="s">
        <v>533</v>
      </c>
      <c r="D228" s="308"/>
      <c r="E228" s="116"/>
      <c r="F228" s="115"/>
      <c r="G228" s="116"/>
      <c r="H228" s="151"/>
      <c r="I228" s="153" t="b">
        <v>1</v>
      </c>
      <c r="J228" s="150" t="str">
        <f t="shared" si="80"/>
        <v/>
      </c>
      <c r="L228" s="140" t="str">
        <f t="shared" si="71"/>
        <v/>
      </c>
      <c r="M228" s="140" t="str">
        <f t="shared" si="76"/>
        <v/>
      </c>
    </row>
    <row r="229" spans="1:16" ht="20.100000000000001" customHeight="1" outlineLevel="1" x14ac:dyDescent="0.25">
      <c r="A229" s="331" t="s">
        <v>534</v>
      </c>
      <c r="B229" s="333" t="s">
        <v>375</v>
      </c>
      <c r="C229" s="314" t="s">
        <v>535</v>
      </c>
      <c r="D229" s="315"/>
      <c r="E229" s="326" t="s">
        <v>569</v>
      </c>
      <c r="F229" s="115" t="s">
        <v>66</v>
      </c>
      <c r="G229" s="116" t="s">
        <v>310</v>
      </c>
      <c r="H229" s="120" t="str">
        <f>IF(F229&lt;&gt;"",VLOOKUP(F229,A$15:D$375,2,FALSE),0)</f>
        <v>nein</v>
      </c>
      <c r="I229" s="320" t="b">
        <f>OR(G229&lt;=H229,G230&lt;=H230)</f>
        <v>1</v>
      </c>
      <c r="J229" s="301" t="str">
        <f t="shared" si="80"/>
        <v/>
      </c>
      <c r="K229" s="318" t="s">
        <v>579</v>
      </c>
      <c r="L229" s="140" t="str">
        <f t="shared" si="71"/>
        <v/>
      </c>
      <c r="M229" s="140" t="str">
        <f t="shared" si="76"/>
        <v/>
      </c>
      <c r="N229" s="139"/>
      <c r="O229" s="29"/>
      <c r="P229" s="29"/>
    </row>
    <row r="230" spans="1:16" ht="20.100000000000001" customHeight="1" outlineLevel="1" x14ac:dyDescent="0.25">
      <c r="A230" s="332"/>
      <c r="B230" s="334"/>
      <c r="C230" s="314"/>
      <c r="D230" s="315"/>
      <c r="E230" s="326"/>
      <c r="F230" s="115" t="s">
        <v>546</v>
      </c>
      <c r="G230" s="116" t="s">
        <v>310</v>
      </c>
      <c r="H230" s="120" t="str">
        <f>IF(F230&lt;&gt;"",VLOOKUP(F230,A$15:D$375,2,FALSE),0)</f>
        <v>nein</v>
      </c>
      <c r="I230" s="321"/>
      <c r="J230" s="302"/>
      <c r="K230" s="318"/>
      <c r="L230" s="140" t="str">
        <f t="shared" si="71"/>
        <v/>
      </c>
      <c r="M230" s="140" t="str">
        <f t="shared" si="76"/>
        <v/>
      </c>
      <c r="N230" s="139"/>
      <c r="O230" s="29"/>
      <c r="P230" s="29"/>
    </row>
    <row r="231" spans="1:16" ht="15" customHeight="1" outlineLevel="1" x14ac:dyDescent="0.25">
      <c r="A231" s="327" t="s">
        <v>125</v>
      </c>
      <c r="B231" s="330" t="s">
        <v>375</v>
      </c>
      <c r="C231" s="308" t="s">
        <v>536</v>
      </c>
      <c r="D231" s="308"/>
      <c r="E231" s="43"/>
      <c r="F231" s="115" t="s">
        <v>178</v>
      </c>
      <c r="G231" s="116">
        <v>3</v>
      </c>
      <c r="H231" s="120">
        <f>IF(F231&lt;&gt;"",VLOOKUP(F231,A$15:D$375,2,FALSE),0)</f>
        <v>2</v>
      </c>
      <c r="I231" s="320" t="b">
        <f>AND(G231&lt;=H231,G232&lt;=H232)</f>
        <v>0</v>
      </c>
      <c r="J231" s="301" t="str">
        <f t="shared" ref="J231" si="81">IF(B231="ja",A231&amp;" ("&amp;C231&amp;")","")</f>
        <v/>
      </c>
      <c r="L231" s="140" t="str">
        <f t="shared" si="71"/>
        <v/>
      </c>
      <c r="M231" s="140" t="str">
        <f t="shared" si="76"/>
        <v/>
      </c>
    </row>
    <row r="232" spans="1:16" ht="15" customHeight="1" outlineLevel="1" x14ac:dyDescent="0.25">
      <c r="A232" s="329"/>
      <c r="B232" s="330"/>
      <c r="C232" s="308"/>
      <c r="D232" s="308"/>
      <c r="E232" s="43"/>
      <c r="F232" s="115" t="s">
        <v>244</v>
      </c>
      <c r="G232" s="116">
        <v>1</v>
      </c>
      <c r="H232" s="120">
        <f>IF(F232&lt;&gt;"",VLOOKUP(F232,A$15:D$375,2,FALSE),0)</f>
        <v>0</v>
      </c>
      <c r="I232" s="321"/>
      <c r="J232" s="302"/>
      <c r="L232" s="140" t="str">
        <f t="shared" si="71"/>
        <v/>
      </c>
      <c r="M232" s="140" t="str">
        <f t="shared" si="76"/>
        <v/>
      </c>
    </row>
    <row r="233" spans="1:16" ht="33" customHeight="1" outlineLevel="1" x14ac:dyDescent="0.25">
      <c r="A233" s="122" t="s">
        <v>468</v>
      </c>
      <c r="B233" s="211" t="s">
        <v>375</v>
      </c>
      <c r="C233" s="307" t="s">
        <v>538</v>
      </c>
      <c r="D233" s="308"/>
      <c r="E233" s="116"/>
      <c r="F233" s="115"/>
      <c r="G233" s="116"/>
      <c r="H233" s="151"/>
      <c r="I233" s="153" t="b">
        <v>1</v>
      </c>
      <c r="J233" s="150" t="str">
        <f t="shared" ref="J233:J239" si="82">IF(B233="ja",A233&amp;" ("&amp;C233&amp;")","")</f>
        <v/>
      </c>
      <c r="L233" s="140" t="str">
        <f t="shared" si="71"/>
        <v/>
      </c>
      <c r="M233" s="140" t="str">
        <f t="shared" si="76"/>
        <v/>
      </c>
    </row>
    <row r="234" spans="1:16" ht="33" customHeight="1" outlineLevel="1" x14ac:dyDescent="0.25">
      <c r="A234" s="122" t="s">
        <v>537</v>
      </c>
      <c r="B234" s="211" t="s">
        <v>375</v>
      </c>
      <c r="C234" s="307" t="s">
        <v>539</v>
      </c>
      <c r="D234" s="308"/>
      <c r="E234" s="116"/>
      <c r="F234" s="115"/>
      <c r="G234" s="116"/>
      <c r="H234" s="151"/>
      <c r="I234" s="153" t="b">
        <v>1</v>
      </c>
      <c r="J234" s="150" t="str">
        <f t="shared" si="82"/>
        <v/>
      </c>
      <c r="L234" s="140" t="str">
        <f t="shared" si="71"/>
        <v/>
      </c>
      <c r="M234" s="140" t="str">
        <f t="shared" si="76"/>
        <v/>
      </c>
    </row>
    <row r="235" spans="1:16" ht="30" customHeight="1" outlineLevel="1" x14ac:dyDescent="0.25">
      <c r="A235" s="122" t="s">
        <v>540</v>
      </c>
      <c r="B235" s="211" t="s">
        <v>375</v>
      </c>
      <c r="C235" s="314" t="s">
        <v>543</v>
      </c>
      <c r="D235" s="308"/>
      <c r="E235" s="43"/>
      <c r="F235" s="115" t="s">
        <v>468</v>
      </c>
      <c r="G235" s="116" t="s">
        <v>310</v>
      </c>
      <c r="H235" s="120" t="str">
        <f>IF(F235&lt;&gt;"",VLOOKUP(F235,A$15:D$375,2,FALSE),0)</f>
        <v>nein</v>
      </c>
      <c r="I235" s="121" t="b">
        <f t="shared" ref="I235:I237" si="83">G235&lt;=H235</f>
        <v>1</v>
      </c>
      <c r="J235" s="150" t="str">
        <f t="shared" si="82"/>
        <v/>
      </c>
      <c r="L235" s="140" t="str">
        <f t="shared" si="71"/>
        <v/>
      </c>
      <c r="M235" s="140" t="str">
        <f t="shared" si="76"/>
        <v/>
      </c>
      <c r="N235" s="139"/>
      <c r="O235" s="29"/>
      <c r="P235" s="29"/>
    </row>
    <row r="236" spans="1:16" ht="15" customHeight="1" outlineLevel="1" x14ac:dyDescent="0.25">
      <c r="A236" s="122" t="s">
        <v>541</v>
      </c>
      <c r="B236" s="211" t="s">
        <v>375</v>
      </c>
      <c r="C236" s="314" t="s">
        <v>544</v>
      </c>
      <c r="D236" s="308"/>
      <c r="E236" s="43"/>
      <c r="F236" s="115" t="s">
        <v>178</v>
      </c>
      <c r="G236" s="116">
        <v>5</v>
      </c>
      <c r="H236" s="120">
        <f>IF(F236&lt;&gt;"",VLOOKUP(F236,A$15:D$375,2,FALSE),0)</f>
        <v>2</v>
      </c>
      <c r="I236" s="121" t="b">
        <f t="shared" si="83"/>
        <v>0</v>
      </c>
      <c r="J236" s="150" t="str">
        <f t="shared" si="82"/>
        <v/>
      </c>
      <c r="L236" s="140" t="str">
        <f t="shared" si="71"/>
        <v/>
      </c>
      <c r="M236" s="140" t="str">
        <f t="shared" si="76"/>
        <v/>
      </c>
      <c r="N236" s="139"/>
      <c r="O236" s="29"/>
      <c r="P236" s="29"/>
    </row>
    <row r="237" spans="1:16" ht="30" customHeight="1" outlineLevel="1" x14ac:dyDescent="0.25">
      <c r="A237" s="122" t="s">
        <v>542</v>
      </c>
      <c r="B237" s="211" t="s">
        <v>375</v>
      </c>
      <c r="C237" s="314" t="s">
        <v>545</v>
      </c>
      <c r="D237" s="308"/>
      <c r="E237" s="43"/>
      <c r="F237" s="115" t="s">
        <v>175</v>
      </c>
      <c r="G237" s="116">
        <v>5</v>
      </c>
      <c r="H237" s="120">
        <f>IF(F237&lt;&gt;"",VLOOKUP(F237,A$15:D$375,2,FALSE),0)</f>
        <v>2</v>
      </c>
      <c r="I237" s="121" t="b">
        <f t="shared" si="83"/>
        <v>0</v>
      </c>
      <c r="J237" s="150" t="str">
        <f t="shared" si="82"/>
        <v/>
      </c>
      <c r="L237" s="140" t="str">
        <f t="shared" si="71"/>
        <v/>
      </c>
      <c r="M237" s="140" t="str">
        <f t="shared" si="76"/>
        <v/>
      </c>
      <c r="N237" s="139"/>
      <c r="O237" s="29"/>
      <c r="P237" s="29"/>
    </row>
    <row r="238" spans="1:16" ht="33" customHeight="1" outlineLevel="1" x14ac:dyDescent="0.25">
      <c r="A238" s="122" t="s">
        <v>546</v>
      </c>
      <c r="B238" s="211" t="s">
        <v>375</v>
      </c>
      <c r="C238" s="307" t="s">
        <v>547</v>
      </c>
      <c r="D238" s="308"/>
      <c r="E238" s="116"/>
      <c r="F238" s="115"/>
      <c r="G238" s="116"/>
      <c r="H238" s="151"/>
      <c r="I238" s="153" t="b">
        <v>1</v>
      </c>
      <c r="J238" s="150" t="str">
        <f t="shared" si="82"/>
        <v/>
      </c>
      <c r="L238" s="140" t="str">
        <f t="shared" si="71"/>
        <v/>
      </c>
      <c r="M238" s="140" t="str">
        <f t="shared" si="76"/>
        <v/>
      </c>
    </row>
    <row r="239" spans="1:16" ht="15" customHeight="1" outlineLevel="1" x14ac:dyDescent="0.25">
      <c r="A239" s="327" t="s">
        <v>548</v>
      </c>
      <c r="B239" s="330" t="s">
        <v>375</v>
      </c>
      <c r="C239" s="308" t="s">
        <v>550</v>
      </c>
      <c r="D239" s="308"/>
      <c r="E239" s="43"/>
      <c r="F239" s="115" t="s">
        <v>178</v>
      </c>
      <c r="G239" s="116">
        <v>5</v>
      </c>
      <c r="H239" s="120">
        <f>IF(F239&lt;&gt;"",VLOOKUP(F239,A$15:D$375,2,FALSE),0)</f>
        <v>2</v>
      </c>
      <c r="I239" s="320" t="b">
        <f>AND(G239&lt;=H239,G240&lt;=H240,G241&lt;H241)</f>
        <v>0</v>
      </c>
      <c r="J239" s="301" t="str">
        <f t="shared" si="82"/>
        <v/>
      </c>
      <c r="L239" s="140" t="str">
        <f t="shared" si="71"/>
        <v/>
      </c>
      <c r="M239" s="140" t="str">
        <f t="shared" si="76"/>
        <v/>
      </c>
    </row>
    <row r="240" spans="1:16" ht="15" customHeight="1" outlineLevel="1" x14ac:dyDescent="0.25">
      <c r="A240" s="328"/>
      <c r="B240" s="330"/>
      <c r="C240" s="308"/>
      <c r="D240" s="308"/>
      <c r="E240" s="43"/>
      <c r="F240" s="115" t="s">
        <v>244</v>
      </c>
      <c r="G240" s="116">
        <v>3</v>
      </c>
      <c r="H240" s="120">
        <f>IF(F240&lt;&gt;"",VLOOKUP(F240,A$15:D$375,2,FALSE),0)</f>
        <v>0</v>
      </c>
      <c r="I240" s="322"/>
      <c r="J240" s="303"/>
      <c r="L240" s="140" t="str">
        <f t="shared" si="71"/>
        <v/>
      </c>
      <c r="M240" s="140" t="str">
        <f t="shared" si="76"/>
        <v/>
      </c>
    </row>
    <row r="241" spans="1:13" ht="15" customHeight="1" outlineLevel="1" x14ac:dyDescent="0.25">
      <c r="A241" s="329"/>
      <c r="B241" s="330"/>
      <c r="C241" s="308"/>
      <c r="D241" s="308"/>
      <c r="E241" s="113"/>
      <c r="F241" s="115" t="s">
        <v>549</v>
      </c>
      <c r="G241" s="116" t="s">
        <v>310</v>
      </c>
      <c r="H241" s="120" t="str">
        <f>IF(F241&lt;&gt;"",VLOOKUP(F241,A$15:D$375,2,FALSE),0)</f>
        <v>nein</v>
      </c>
      <c r="I241" s="321"/>
      <c r="J241" s="302"/>
      <c r="L241" s="140" t="str">
        <f t="shared" si="71"/>
        <v/>
      </c>
      <c r="M241" s="140" t="str">
        <f t="shared" si="76"/>
        <v/>
      </c>
    </row>
    <row r="242" spans="1:13" ht="15" customHeight="1" outlineLevel="1" x14ac:dyDescent="0.25">
      <c r="A242" s="327" t="s">
        <v>56</v>
      </c>
      <c r="B242" s="330" t="s">
        <v>375</v>
      </c>
      <c r="C242" s="308" t="s">
        <v>551</v>
      </c>
      <c r="D242" s="308"/>
      <c r="E242" s="43"/>
      <c r="F242" s="115" t="s">
        <v>171</v>
      </c>
      <c r="G242" s="116">
        <v>3</v>
      </c>
      <c r="H242" s="120">
        <f>IF(F242&lt;&gt;"",VLOOKUP(F242,A$15:D$375,2,FALSE),0)</f>
        <v>2</v>
      </c>
      <c r="I242" s="320" t="b">
        <f>AND(G242&lt;=H242,G243&lt;=H243)</f>
        <v>0</v>
      </c>
      <c r="J242" s="301" t="str">
        <f t="shared" ref="J242" si="84">IF(B242="ja",A242&amp;" ("&amp;C242&amp;")","")</f>
        <v/>
      </c>
      <c r="L242" s="140" t="str">
        <f t="shared" si="71"/>
        <v/>
      </c>
      <c r="M242" s="140" t="str">
        <f t="shared" si="76"/>
        <v/>
      </c>
    </row>
    <row r="243" spans="1:13" ht="15" customHeight="1" outlineLevel="1" x14ac:dyDescent="0.25">
      <c r="A243" s="329"/>
      <c r="B243" s="330"/>
      <c r="C243" s="308"/>
      <c r="D243" s="308"/>
      <c r="E243" s="43"/>
      <c r="F243" s="115" t="s">
        <v>394</v>
      </c>
      <c r="G243" s="116">
        <v>2</v>
      </c>
      <c r="H243" s="120">
        <f>COUNTIF(B76:B85,"ja")</f>
        <v>0</v>
      </c>
      <c r="I243" s="321"/>
      <c r="J243" s="302"/>
      <c r="K243" s="136" t="s">
        <v>579</v>
      </c>
      <c r="L243" s="140" t="str">
        <f t="shared" si="71"/>
        <v/>
      </c>
      <c r="M243" s="140" t="str">
        <f t="shared" si="76"/>
        <v/>
      </c>
    </row>
    <row r="244" spans="1:13" ht="45" customHeight="1" outlineLevel="1" x14ac:dyDescent="0.25">
      <c r="A244" s="122" t="s">
        <v>552</v>
      </c>
      <c r="B244" s="211" t="s">
        <v>375</v>
      </c>
      <c r="C244" s="307" t="s">
        <v>553</v>
      </c>
      <c r="D244" s="308"/>
      <c r="E244" s="116"/>
      <c r="F244" s="115" t="s">
        <v>468</v>
      </c>
      <c r="G244" s="116" t="s">
        <v>310</v>
      </c>
      <c r="H244" s="120" t="str">
        <f>IF(F244&lt;&gt;"",VLOOKUP(F244,A$15:D$375,2,FALSE),0)</f>
        <v>nein</v>
      </c>
      <c r="I244" s="121" t="b">
        <f t="shared" ref="I244:I251" si="85">G244&lt;=H244</f>
        <v>1</v>
      </c>
      <c r="J244" s="150" t="str">
        <f t="shared" ref="J244:J252" si="86">IF(B244="ja",A244&amp;" ("&amp;C244&amp;")","")</f>
        <v/>
      </c>
      <c r="L244" s="140" t="str">
        <f t="shared" si="71"/>
        <v/>
      </c>
      <c r="M244" s="140" t="str">
        <f t="shared" si="76"/>
        <v/>
      </c>
    </row>
    <row r="245" spans="1:13" ht="33" customHeight="1" outlineLevel="1" x14ac:dyDescent="0.25">
      <c r="A245" s="122" t="s">
        <v>554</v>
      </c>
      <c r="B245" s="211" t="s">
        <v>375</v>
      </c>
      <c r="C245" s="307" t="s">
        <v>556</v>
      </c>
      <c r="D245" s="308"/>
      <c r="E245" s="116"/>
      <c r="F245" s="115"/>
      <c r="G245" s="116"/>
      <c r="H245" s="151"/>
      <c r="I245" s="153" t="b">
        <v>1</v>
      </c>
      <c r="J245" s="150" t="str">
        <f t="shared" si="86"/>
        <v/>
      </c>
      <c r="L245" s="140" t="str">
        <f t="shared" si="71"/>
        <v/>
      </c>
      <c r="M245" s="140" t="str">
        <f t="shared" si="76"/>
        <v/>
      </c>
    </row>
    <row r="246" spans="1:13" ht="33" customHeight="1" outlineLevel="1" x14ac:dyDescent="0.25">
      <c r="A246" s="122" t="s">
        <v>555</v>
      </c>
      <c r="B246" s="211" t="s">
        <v>375</v>
      </c>
      <c r="C246" s="307" t="s">
        <v>557</v>
      </c>
      <c r="D246" s="308"/>
      <c r="E246" s="116"/>
      <c r="F246" s="115" t="s">
        <v>176</v>
      </c>
      <c r="G246" s="116">
        <v>3</v>
      </c>
      <c r="H246" s="120">
        <f>IF(F246&lt;&gt;"",VLOOKUP(F246,A$15:D$375,2,FALSE),0)</f>
        <v>2</v>
      </c>
      <c r="I246" s="121" t="b">
        <f t="shared" si="85"/>
        <v>0</v>
      </c>
      <c r="J246" s="150" t="str">
        <f t="shared" si="86"/>
        <v/>
      </c>
      <c r="L246" s="140" t="str">
        <f t="shared" si="71"/>
        <v/>
      </c>
      <c r="M246" s="140" t="str">
        <f t="shared" si="76"/>
        <v/>
      </c>
    </row>
    <row r="247" spans="1:13" ht="33" customHeight="1" outlineLevel="1" x14ac:dyDescent="0.25">
      <c r="A247" s="122" t="s">
        <v>31</v>
      </c>
      <c r="B247" s="211" t="s">
        <v>375</v>
      </c>
      <c r="C247" s="307" t="s">
        <v>558</v>
      </c>
      <c r="D247" s="308"/>
      <c r="E247" s="116"/>
      <c r="F247" s="115"/>
      <c r="G247" s="116"/>
      <c r="H247" s="151"/>
      <c r="I247" s="153" t="b">
        <v>1</v>
      </c>
      <c r="J247" s="150" t="str">
        <f t="shared" si="86"/>
        <v/>
      </c>
      <c r="L247" s="140" t="str">
        <f t="shared" si="71"/>
        <v/>
      </c>
      <c r="M247" s="140" t="str">
        <f t="shared" si="76"/>
        <v/>
      </c>
    </row>
    <row r="248" spans="1:13" ht="15" customHeight="1" outlineLevel="1" x14ac:dyDescent="0.25">
      <c r="A248" s="327" t="s">
        <v>560</v>
      </c>
      <c r="B248" s="330" t="s">
        <v>375</v>
      </c>
      <c r="C248" s="308" t="s">
        <v>561</v>
      </c>
      <c r="D248" s="308"/>
      <c r="E248" s="43"/>
      <c r="F248" s="115" t="s">
        <v>176</v>
      </c>
      <c r="G248" s="116">
        <v>3</v>
      </c>
      <c r="H248" s="120">
        <f>IF(F248&lt;&gt;"",VLOOKUP(F248,A$15:D$375,2,FALSE),0)</f>
        <v>2</v>
      </c>
      <c r="I248" s="320" t="b">
        <f>AND(G248&lt;=H248,G249&lt;=H249)</f>
        <v>0</v>
      </c>
      <c r="J248" s="301" t="str">
        <f t="shared" si="86"/>
        <v/>
      </c>
      <c r="L248" s="140" t="str">
        <f t="shared" si="71"/>
        <v/>
      </c>
      <c r="M248" s="140" t="str">
        <f t="shared" si="76"/>
        <v/>
      </c>
    </row>
    <row r="249" spans="1:13" ht="15" customHeight="1" outlineLevel="1" x14ac:dyDescent="0.25">
      <c r="A249" s="329"/>
      <c r="B249" s="330"/>
      <c r="C249" s="308"/>
      <c r="D249" s="308"/>
      <c r="E249" s="43"/>
      <c r="F249" s="115" t="s">
        <v>236</v>
      </c>
      <c r="G249" s="116">
        <v>1</v>
      </c>
      <c r="H249" s="120">
        <f>IF(F249&lt;&gt;"",VLOOKUP(F249,A$15:D$375,2,FALSE),0)</f>
        <v>0</v>
      </c>
      <c r="I249" s="321"/>
      <c r="J249" s="302"/>
      <c r="L249" s="140" t="str">
        <f t="shared" si="71"/>
        <v/>
      </c>
      <c r="M249" s="140" t="str">
        <f t="shared" si="76"/>
        <v/>
      </c>
    </row>
    <row r="250" spans="1:13" ht="47.25" customHeight="1" outlineLevel="1" x14ac:dyDescent="0.25">
      <c r="A250" s="257" t="s">
        <v>911</v>
      </c>
      <c r="B250" s="224" t="s">
        <v>375</v>
      </c>
      <c r="C250" s="307" t="s">
        <v>912</v>
      </c>
      <c r="D250" s="308"/>
      <c r="E250" s="225"/>
      <c r="F250" s="115"/>
      <c r="G250" s="225"/>
      <c r="H250" s="226"/>
      <c r="I250" s="153" t="b">
        <v>1</v>
      </c>
      <c r="J250" s="150" t="str">
        <f t="shared" ref="J250" si="87">IF(B250="ja",A250&amp;" ("&amp;C250&amp;")","")</f>
        <v/>
      </c>
      <c r="L250" s="140" t="str">
        <f t="shared" ref="L250" si="88">IF(J250="",L249,L249&amp;", "&amp;A250)</f>
        <v/>
      </c>
      <c r="M250" s="140" t="str">
        <f t="shared" ref="M250" si="89">IF(J250="",M249,M249&amp;", "&amp;J250)</f>
        <v/>
      </c>
    </row>
    <row r="251" spans="1:13" ht="45" customHeight="1" outlineLevel="1" x14ac:dyDescent="0.25">
      <c r="A251" s="122" t="s">
        <v>60</v>
      </c>
      <c r="B251" s="211" t="s">
        <v>375</v>
      </c>
      <c r="C251" s="307" t="s">
        <v>562</v>
      </c>
      <c r="D251" s="308"/>
      <c r="E251" s="116"/>
      <c r="F251" s="115" t="s">
        <v>28</v>
      </c>
      <c r="G251" s="116">
        <v>3</v>
      </c>
      <c r="H251" s="120">
        <f t="shared" ref="H251:H257" si="90">IF(F251&lt;&gt;"",VLOOKUP(F251,A$15:D$375,2,FALSE),0)</f>
        <v>2</v>
      </c>
      <c r="I251" s="121" t="b">
        <f t="shared" si="85"/>
        <v>0</v>
      </c>
      <c r="J251" s="150" t="str">
        <f t="shared" si="86"/>
        <v/>
      </c>
      <c r="L251" s="140" t="str">
        <f t="shared" ref="L251" si="91">IF(J251="",L250,L250&amp;", "&amp;A251)</f>
        <v/>
      </c>
      <c r="M251" s="140" t="str">
        <f t="shared" ref="M251" si="92">IF(J251="",M250,M250&amp;", "&amp;J251)</f>
        <v/>
      </c>
    </row>
    <row r="252" spans="1:13" ht="15" customHeight="1" outlineLevel="1" x14ac:dyDescent="0.25">
      <c r="A252" s="327" t="s">
        <v>549</v>
      </c>
      <c r="B252" s="330" t="s">
        <v>375</v>
      </c>
      <c r="C252" s="308" t="s">
        <v>563</v>
      </c>
      <c r="D252" s="308"/>
      <c r="E252" s="43"/>
      <c r="F252" s="115" t="s">
        <v>178</v>
      </c>
      <c r="G252" s="116">
        <v>5</v>
      </c>
      <c r="H252" s="120">
        <f t="shared" si="90"/>
        <v>2</v>
      </c>
      <c r="I252" s="320" t="b">
        <f>AND(G252&lt;=H252,G253&lt;=H253,G254&lt;=H254)</f>
        <v>0</v>
      </c>
      <c r="J252" s="301" t="str">
        <f t="shared" si="86"/>
        <v/>
      </c>
      <c r="L252" s="140" t="str">
        <f t="shared" si="71"/>
        <v/>
      </c>
      <c r="M252" s="140" t="str">
        <f t="shared" si="76"/>
        <v/>
      </c>
    </row>
    <row r="253" spans="1:13" ht="15" customHeight="1" outlineLevel="1" x14ac:dyDescent="0.25">
      <c r="A253" s="328"/>
      <c r="B253" s="330"/>
      <c r="C253" s="308"/>
      <c r="D253" s="308"/>
      <c r="E253" s="43"/>
      <c r="F253" s="115" t="s">
        <v>244</v>
      </c>
      <c r="G253" s="116">
        <v>2</v>
      </c>
      <c r="H253" s="120">
        <f t="shared" si="90"/>
        <v>0</v>
      </c>
      <c r="I253" s="322"/>
      <c r="J253" s="303"/>
      <c r="L253" s="140" t="str">
        <f t="shared" si="71"/>
        <v/>
      </c>
      <c r="M253" s="140" t="str">
        <f t="shared" si="76"/>
        <v/>
      </c>
    </row>
    <row r="254" spans="1:13" ht="15" customHeight="1" outlineLevel="1" x14ac:dyDescent="0.25">
      <c r="A254" s="329"/>
      <c r="B254" s="330"/>
      <c r="C254" s="308"/>
      <c r="D254" s="308"/>
      <c r="E254" s="113"/>
      <c r="F254" s="115" t="s">
        <v>559</v>
      </c>
      <c r="G254" s="116" t="s">
        <v>310</v>
      </c>
      <c r="H254" s="120" t="str">
        <f t="shared" si="90"/>
        <v>nein</v>
      </c>
      <c r="I254" s="321"/>
      <c r="J254" s="302"/>
      <c r="L254" s="140" t="str">
        <f t="shared" si="71"/>
        <v/>
      </c>
      <c r="M254" s="140" t="str">
        <f t="shared" si="76"/>
        <v/>
      </c>
    </row>
    <row r="255" spans="1:13" ht="15" customHeight="1" outlineLevel="1" x14ac:dyDescent="0.25">
      <c r="A255" s="327" t="s">
        <v>559</v>
      </c>
      <c r="B255" s="330" t="s">
        <v>375</v>
      </c>
      <c r="C255" s="308" t="s">
        <v>564</v>
      </c>
      <c r="D255" s="308"/>
      <c r="E255" s="43"/>
      <c r="F255" s="115" t="s">
        <v>178</v>
      </c>
      <c r="G255" s="116">
        <v>4</v>
      </c>
      <c r="H255" s="120">
        <f t="shared" si="90"/>
        <v>2</v>
      </c>
      <c r="I255" s="320" t="b">
        <f>AND(G255&lt;=H255,G256&lt;=H256,G257&lt;=H257)</f>
        <v>0</v>
      </c>
      <c r="J255" s="301" t="str">
        <f t="shared" ref="J255" si="93">IF(B255="ja",A255&amp;" ("&amp;C255&amp;")","")</f>
        <v/>
      </c>
      <c r="L255" s="140" t="str">
        <f t="shared" si="71"/>
        <v/>
      </c>
      <c r="M255" s="140" t="str">
        <f t="shared" si="76"/>
        <v/>
      </c>
    </row>
    <row r="256" spans="1:13" ht="15" customHeight="1" outlineLevel="1" x14ac:dyDescent="0.25">
      <c r="A256" s="328"/>
      <c r="B256" s="330"/>
      <c r="C256" s="308"/>
      <c r="D256" s="308"/>
      <c r="E256" s="43"/>
      <c r="F256" s="115" t="s">
        <v>244</v>
      </c>
      <c r="G256" s="116">
        <v>1</v>
      </c>
      <c r="H256" s="120">
        <f t="shared" si="90"/>
        <v>0</v>
      </c>
      <c r="I256" s="322"/>
      <c r="J256" s="303"/>
      <c r="L256" s="140" t="str">
        <f t="shared" si="71"/>
        <v/>
      </c>
      <c r="M256" s="140" t="str">
        <f t="shared" si="76"/>
        <v/>
      </c>
    </row>
    <row r="257" spans="1:13" ht="15" customHeight="1" outlineLevel="1" x14ac:dyDescent="0.25">
      <c r="A257" s="329"/>
      <c r="B257" s="330"/>
      <c r="C257" s="308"/>
      <c r="D257" s="308"/>
      <c r="E257" s="113"/>
      <c r="F257" s="115" t="s">
        <v>560</v>
      </c>
      <c r="G257" s="116" t="s">
        <v>310</v>
      </c>
      <c r="H257" s="120" t="str">
        <f t="shared" si="90"/>
        <v>nein</v>
      </c>
      <c r="I257" s="321"/>
      <c r="J257" s="302"/>
      <c r="L257" s="140" t="str">
        <f t="shared" si="71"/>
        <v/>
      </c>
      <c r="M257" s="140" t="str">
        <f t="shared" si="76"/>
        <v/>
      </c>
    </row>
    <row r="258" spans="1:13" ht="15.75" thickBot="1" x14ac:dyDescent="0.3">
      <c r="A258" s="99"/>
      <c r="B258" s="117"/>
      <c r="C258" s="100"/>
      <c r="D258" s="100"/>
      <c r="E258" s="101"/>
      <c r="F258" s="125"/>
      <c r="G258" s="117"/>
      <c r="H258" s="117"/>
      <c r="I258" s="160"/>
      <c r="J258" s="135"/>
    </row>
    <row r="260" spans="1:13" x14ac:dyDescent="0.25">
      <c r="A260" s="33" t="s">
        <v>604</v>
      </c>
      <c r="B260" s="284" t="str">
        <f>IF(D6="","","Achtung! Es sind noch Fehler auf dieser Seite!")</f>
        <v/>
      </c>
      <c r="C260" s="284"/>
      <c r="D260" s="284"/>
      <c r="E260" s="284"/>
    </row>
    <row r="261" spans="1:13" x14ac:dyDescent="0.25">
      <c r="A261" s="166" t="s">
        <v>602</v>
      </c>
      <c r="B261" s="33" t="s">
        <v>603</v>
      </c>
    </row>
    <row r="263" spans="1:13" hidden="1" x14ac:dyDescent="0.25">
      <c r="A263" s="7" t="s">
        <v>373</v>
      </c>
    </row>
    <row r="264" spans="1:13" hidden="1" outlineLevel="1" x14ac:dyDescent="0.25">
      <c r="B264" s="9" t="s">
        <v>374</v>
      </c>
    </row>
    <row r="265" spans="1:13" hidden="1" outlineLevel="1" x14ac:dyDescent="0.25">
      <c r="A265" s="16" t="str">
        <f>'_Tabellen und Listen'!B145</f>
        <v>Athletik</v>
      </c>
      <c r="B265" s="20">
        <f>VLOOKUP(A265,'2. Fähigkeiten'!$A$16:$F$121,6,FALSE)</f>
        <v>2</v>
      </c>
    </row>
    <row r="266" spans="1:13" hidden="1" outlineLevel="1" x14ac:dyDescent="0.25">
      <c r="A266" s="16" t="str">
        <f>'_Tabellen und Listen'!B146</f>
        <v>Ausdauer</v>
      </c>
      <c r="B266" s="20">
        <f>VLOOKUP(A266,'2. Fähigkeiten'!$A$16:$F$121,6,FALSE)</f>
        <v>2</v>
      </c>
    </row>
    <row r="267" spans="1:13" hidden="1" outlineLevel="1" x14ac:dyDescent="0.25">
      <c r="A267" s="16" t="str">
        <f>'_Tabellen und Listen'!B147</f>
        <v>Diebeskunst</v>
      </c>
      <c r="B267" s="20">
        <f>VLOOKUP(A267,'2. Fähigkeiten'!$A$16:$F$121,6,FALSE)</f>
        <v>2</v>
      </c>
    </row>
    <row r="268" spans="1:13" hidden="1" outlineLevel="1" x14ac:dyDescent="0.25">
      <c r="A268" s="16" t="str">
        <f>'_Tabellen und Listen'!B148</f>
        <v>Gewandtheit</v>
      </c>
      <c r="B268" s="20">
        <f>VLOOKUP(A268,'2. Fähigkeiten'!$A$16:$F$121,6,FALSE)</f>
        <v>2</v>
      </c>
    </row>
    <row r="269" spans="1:13" hidden="1" outlineLevel="1" x14ac:dyDescent="0.25">
      <c r="A269" s="16" t="str">
        <f>'_Tabellen und Listen'!B149</f>
        <v>Heilkunst</v>
      </c>
      <c r="B269" s="20">
        <f>VLOOKUP(A269,'2. Fähigkeiten'!$A$16:$F$121,6,FALSE)</f>
        <v>2</v>
      </c>
    </row>
    <row r="270" spans="1:13" hidden="1" outlineLevel="1" x14ac:dyDescent="0.25">
      <c r="A270" s="16" t="str">
        <f>'_Tabellen und Listen'!B150</f>
        <v>Kampf</v>
      </c>
      <c r="B270" s="20">
        <f>VLOOKUP(A270,'2. Fähigkeiten'!$A$16:$F$121,6,FALSE)</f>
        <v>2</v>
      </c>
    </row>
    <row r="271" spans="1:13" hidden="1" outlineLevel="1" x14ac:dyDescent="0.25">
      <c r="A271" s="16" t="str">
        <f>'_Tabellen und Listen'!B151</f>
        <v>Kriegsführung</v>
      </c>
      <c r="B271" s="20">
        <f>VLOOKUP(A271,'2. Fähigkeiten'!$A$16:$F$121,6,FALSE)</f>
        <v>2</v>
      </c>
    </row>
    <row r="272" spans="1:13" hidden="1" outlineLevel="1" x14ac:dyDescent="0.25">
      <c r="A272" s="16" t="str">
        <f>'_Tabellen und Listen'!B152</f>
        <v>Scharfsinn</v>
      </c>
      <c r="B272" s="20">
        <f>VLOOKUP(A272,'2. Fähigkeiten'!$A$16:$F$121,6,FALSE)</f>
        <v>2</v>
      </c>
    </row>
    <row r="273" spans="1:2" hidden="1" outlineLevel="1" x14ac:dyDescent="0.25">
      <c r="A273" s="16" t="str">
        <f>'_Tabellen und Listen'!B153</f>
        <v>Schiesskunst</v>
      </c>
      <c r="B273" s="20">
        <f>VLOOKUP(A273,'2. Fähigkeiten'!$A$16:$F$121,6,FALSE)</f>
        <v>2</v>
      </c>
    </row>
    <row r="274" spans="1:2" hidden="1" outlineLevel="1" x14ac:dyDescent="0.25">
      <c r="A274" s="16" t="str">
        <f>'_Tabellen und Listen'!B154</f>
        <v>Sprache</v>
      </c>
      <c r="B274" s="20">
        <f>VLOOKUP(A274,'2. Fähigkeiten'!$A$16:$F$121,6,FALSE)</f>
        <v>2</v>
      </c>
    </row>
    <row r="275" spans="1:2" hidden="1" outlineLevel="1" x14ac:dyDescent="0.25">
      <c r="A275" s="16" t="str">
        <f>'_Tabellen und Listen'!B155</f>
        <v>Status</v>
      </c>
      <c r="B275" s="20">
        <f>VLOOKUP(A275,'2. Fähigkeiten'!$A$16:$F$121,6,FALSE)</f>
        <v>2</v>
      </c>
    </row>
    <row r="276" spans="1:2" hidden="1" outlineLevel="1" x14ac:dyDescent="0.25">
      <c r="A276" s="16" t="str">
        <f>'_Tabellen und Listen'!B156</f>
        <v>Täuschung</v>
      </c>
      <c r="B276" s="20">
        <f>VLOOKUP(A276,'2. Fähigkeiten'!$A$16:$F$121,6,FALSE)</f>
        <v>2</v>
      </c>
    </row>
    <row r="277" spans="1:2" hidden="1" outlineLevel="1" x14ac:dyDescent="0.25">
      <c r="A277" s="16" t="str">
        <f>'_Tabellen und Listen'!B157</f>
        <v>Überleben</v>
      </c>
      <c r="B277" s="20">
        <f>VLOOKUP(A277,'2. Fähigkeiten'!$A$16:$F$121,6,FALSE)</f>
        <v>2</v>
      </c>
    </row>
    <row r="278" spans="1:2" hidden="1" outlineLevel="1" x14ac:dyDescent="0.25">
      <c r="A278" s="16" t="str">
        <f>'_Tabellen und Listen'!B158</f>
        <v>Überredung</v>
      </c>
      <c r="B278" s="20">
        <f>VLOOKUP(A278,'2. Fähigkeiten'!$A$16:$F$121,6,FALSE)</f>
        <v>2</v>
      </c>
    </row>
    <row r="279" spans="1:2" hidden="1" outlineLevel="1" x14ac:dyDescent="0.25">
      <c r="A279" s="16" t="str">
        <f>'_Tabellen und Listen'!B159</f>
        <v>Umgang mit Tieren</v>
      </c>
      <c r="B279" s="20">
        <f>VLOOKUP(A279,'2. Fähigkeiten'!$A$16:$F$121,6,FALSE)</f>
        <v>2</v>
      </c>
    </row>
    <row r="280" spans="1:2" hidden="1" outlineLevel="1" x14ac:dyDescent="0.25">
      <c r="A280" s="16" t="str">
        <f>'_Tabellen und Listen'!B160</f>
        <v>Verstohlenheit</v>
      </c>
      <c r="B280" s="20">
        <f>VLOOKUP(A280,'2. Fähigkeiten'!$A$16:$F$121,6,FALSE)</f>
        <v>2</v>
      </c>
    </row>
    <row r="281" spans="1:2" hidden="1" outlineLevel="1" x14ac:dyDescent="0.25">
      <c r="A281" s="16" t="str">
        <f>'_Tabellen und Listen'!B161</f>
        <v>Wahrnehmung</v>
      </c>
      <c r="B281" s="20">
        <f>VLOOKUP(A281,'2. Fähigkeiten'!$A$16:$F$121,6,FALSE)</f>
        <v>2</v>
      </c>
    </row>
    <row r="282" spans="1:2" hidden="1" outlineLevel="1" x14ac:dyDescent="0.25">
      <c r="A282" s="16" t="str">
        <f>'_Tabellen und Listen'!B162</f>
        <v>Wille</v>
      </c>
      <c r="B282" s="20">
        <f>VLOOKUP(A282,'2. Fähigkeiten'!$A$16:$F$121,6,FALSE)</f>
        <v>2</v>
      </c>
    </row>
    <row r="283" spans="1:2" hidden="1" outlineLevel="1" x14ac:dyDescent="0.25">
      <c r="A283" s="16" t="str">
        <f>'_Tabellen und Listen'!B163</f>
        <v>Wissen</v>
      </c>
      <c r="B283" s="20">
        <f>VLOOKUP(A283,'2. Fähigkeiten'!$A$16:$F$121,6,FALSE)</f>
        <v>2</v>
      </c>
    </row>
    <row r="284" spans="1:2" hidden="1" collapsed="1" x14ac:dyDescent="0.25"/>
    <row r="285" spans="1:2" hidden="1" x14ac:dyDescent="0.25">
      <c r="A285" s="7" t="s">
        <v>565</v>
      </c>
    </row>
    <row r="286" spans="1:2" hidden="1" outlineLevel="1" x14ac:dyDescent="0.25">
      <c r="B286" s="9" t="s">
        <v>374</v>
      </c>
    </row>
    <row r="287" spans="1:2" hidden="1" outlineLevel="1" x14ac:dyDescent="0.25">
      <c r="A287" s="32"/>
      <c r="B287" s="20"/>
    </row>
    <row r="288" spans="1:2" hidden="1" outlineLevel="1" x14ac:dyDescent="0.25">
      <c r="A288" s="32" t="s">
        <v>181</v>
      </c>
      <c r="B288" s="128">
        <f>VLOOKUP(A288,'2. Fähigkeiten'!B$16:F$121,5,FALSE)</f>
        <v>0</v>
      </c>
    </row>
    <row r="289" spans="1:2" hidden="1" outlineLevel="1" x14ac:dyDescent="0.25">
      <c r="A289" s="32" t="s">
        <v>182</v>
      </c>
      <c r="B289" s="128">
        <f>VLOOKUP(A289,'2. Fähigkeiten'!B$16:F$121,5,FALSE)</f>
        <v>0</v>
      </c>
    </row>
    <row r="290" spans="1:2" hidden="1" outlineLevel="1" x14ac:dyDescent="0.25">
      <c r="A290" s="32" t="s">
        <v>183</v>
      </c>
      <c r="B290" s="128">
        <f>VLOOKUP(A290,'2. Fähigkeiten'!B$16:F$121,5,FALSE)</f>
        <v>0</v>
      </c>
    </row>
    <row r="291" spans="1:2" hidden="1" outlineLevel="1" x14ac:dyDescent="0.25">
      <c r="A291" s="32" t="s">
        <v>184</v>
      </c>
      <c r="B291" s="128">
        <f>VLOOKUP(A291,'2. Fähigkeiten'!B$16:F$121,5,FALSE)</f>
        <v>0</v>
      </c>
    </row>
    <row r="292" spans="1:2" hidden="1" outlineLevel="1" x14ac:dyDescent="0.25">
      <c r="A292" s="32" t="s">
        <v>185</v>
      </c>
      <c r="B292" s="128">
        <f>VLOOKUP(A292,'2. Fähigkeiten'!B$16:F$121,5,FALSE)</f>
        <v>0</v>
      </c>
    </row>
    <row r="293" spans="1:2" hidden="1" outlineLevel="1" x14ac:dyDescent="0.25">
      <c r="A293" s="32" t="s">
        <v>186</v>
      </c>
      <c r="B293" s="128">
        <f>VLOOKUP(A293,'2. Fähigkeiten'!B$16:F$121,5,FALSE)</f>
        <v>0</v>
      </c>
    </row>
    <row r="294" spans="1:2" hidden="1" outlineLevel="1" x14ac:dyDescent="0.25">
      <c r="A294" s="5" t="str">
        <f>IF(ISERROR(FIND(#REF!,'1. Allgemeines'!$B$25)),"","Kernfähigkeit")</f>
        <v/>
      </c>
      <c r="B294" s="128"/>
    </row>
    <row r="295" spans="1:2" hidden="1" outlineLevel="1" x14ac:dyDescent="0.25">
      <c r="A295" s="32" t="s">
        <v>187</v>
      </c>
      <c r="B295" s="128">
        <f>VLOOKUP(A295,'2. Fähigkeiten'!B$16:F$121,5,FALSE)</f>
        <v>0</v>
      </c>
    </row>
    <row r="296" spans="1:2" hidden="1" outlineLevel="1" x14ac:dyDescent="0.25">
      <c r="A296" s="32" t="s">
        <v>528</v>
      </c>
      <c r="B296" s="128">
        <f>VLOOKUP(A296,'2. Fähigkeiten'!B$16:F$121,5,FALSE)</f>
        <v>0</v>
      </c>
    </row>
    <row r="297" spans="1:2" hidden="1" outlineLevel="1" x14ac:dyDescent="0.25">
      <c r="A297" s="5" t="str">
        <f>IF(ISERROR(FIND(#REF!,'1. Allgemeines'!$B$25)),"","Kernfähigkeit")</f>
        <v/>
      </c>
      <c r="B297" s="128"/>
    </row>
    <row r="298" spans="1:2" hidden="1" outlineLevel="1" x14ac:dyDescent="0.25">
      <c r="A298" s="32" t="s">
        <v>188</v>
      </c>
      <c r="B298" s="128">
        <f>VLOOKUP(A298,'2. Fähigkeiten'!B$16:F$121,5,FALSE)</f>
        <v>0</v>
      </c>
    </row>
    <row r="299" spans="1:2" hidden="1" outlineLevel="1" x14ac:dyDescent="0.25">
      <c r="A299" s="32" t="s">
        <v>189</v>
      </c>
      <c r="B299" s="128">
        <f>VLOOKUP(A299,'2. Fähigkeiten'!B$16:F$121,5,FALSE)</f>
        <v>0</v>
      </c>
    </row>
    <row r="300" spans="1:2" hidden="1" outlineLevel="1" x14ac:dyDescent="0.25">
      <c r="A300" s="32" t="s">
        <v>190</v>
      </c>
      <c r="B300" s="128">
        <f>VLOOKUP(A300,'2. Fähigkeiten'!B$16:F$121,5,FALSE)</f>
        <v>0</v>
      </c>
    </row>
    <row r="301" spans="1:2" hidden="1" outlineLevel="1" x14ac:dyDescent="0.25">
      <c r="A301" s="5" t="str">
        <f>IF(ISERROR(FIND(#REF!,'1. Allgemeines'!$B$25)),"","Kernfähigkeit")</f>
        <v/>
      </c>
      <c r="B301" s="128"/>
    </row>
    <row r="302" spans="1:2" hidden="1" outlineLevel="1" x14ac:dyDescent="0.25">
      <c r="A302" s="32" t="s">
        <v>191</v>
      </c>
      <c r="B302" s="128">
        <f>VLOOKUP(A302,'2. Fähigkeiten'!B$16:F$121,5,FALSE)</f>
        <v>0</v>
      </c>
    </row>
    <row r="303" spans="1:2" hidden="1" outlineLevel="1" x14ac:dyDescent="0.25">
      <c r="A303" s="32" t="s">
        <v>192</v>
      </c>
      <c r="B303" s="128">
        <f>VLOOKUP(A303,'2. Fähigkeiten'!B$16:F$121,5,FALSE)</f>
        <v>0</v>
      </c>
    </row>
    <row r="304" spans="1:2" hidden="1" outlineLevel="1" x14ac:dyDescent="0.25">
      <c r="A304" s="32" t="s">
        <v>193</v>
      </c>
      <c r="B304" s="128">
        <f>VLOOKUP(A304,'2. Fähigkeiten'!B$16:F$121,5,FALSE)</f>
        <v>0</v>
      </c>
    </row>
    <row r="305" spans="1:2" hidden="1" outlineLevel="1" x14ac:dyDescent="0.25">
      <c r="A305" s="32" t="s">
        <v>194</v>
      </c>
      <c r="B305" s="128">
        <f>VLOOKUP(A305,'2. Fähigkeiten'!B$16:F$121,5,FALSE)</f>
        <v>0</v>
      </c>
    </row>
    <row r="306" spans="1:2" hidden="1" outlineLevel="1" x14ac:dyDescent="0.25">
      <c r="A306" s="32" t="s">
        <v>195</v>
      </c>
      <c r="B306" s="128">
        <f>VLOOKUP(A306,'2. Fähigkeiten'!B$16:F$121,5,FALSE)</f>
        <v>0</v>
      </c>
    </row>
    <row r="307" spans="1:2" hidden="1" outlineLevel="1" x14ac:dyDescent="0.25">
      <c r="A307" s="5" t="str">
        <f>IF(ISERROR(FIND(#REF!,'1. Allgemeines'!$B$25)),"","Kernfähigkeit")</f>
        <v/>
      </c>
      <c r="B307" s="128"/>
    </row>
    <row r="308" spans="1:2" hidden="1" outlineLevel="1" x14ac:dyDescent="0.25">
      <c r="A308" s="32" t="s">
        <v>196</v>
      </c>
      <c r="B308" s="128">
        <f>VLOOKUP(A308,'2. Fähigkeiten'!B$16:F$121,5,FALSE)</f>
        <v>0</v>
      </c>
    </row>
    <row r="309" spans="1:2" hidden="1" outlineLevel="1" x14ac:dyDescent="0.25">
      <c r="A309" s="32" t="s">
        <v>197</v>
      </c>
      <c r="B309" s="128">
        <f>VLOOKUP(A309,'2. Fähigkeiten'!B$16:F$121,5,FALSE)</f>
        <v>0</v>
      </c>
    </row>
    <row r="310" spans="1:2" hidden="1" outlineLevel="1" x14ac:dyDescent="0.25">
      <c r="A310" s="32" t="s">
        <v>198</v>
      </c>
      <c r="B310" s="128">
        <f>VLOOKUP(A310,'2. Fähigkeiten'!B$16:F$121,5,FALSE)</f>
        <v>0</v>
      </c>
    </row>
    <row r="311" spans="1:2" hidden="1" outlineLevel="1" x14ac:dyDescent="0.25">
      <c r="A311" s="5" t="str">
        <f>IF(ISERROR(FIND(#REF!,'1. Allgemeines'!$B$25)),"","Kernfähigkeit")</f>
        <v/>
      </c>
      <c r="B311" s="128"/>
    </row>
    <row r="312" spans="1:2" hidden="1" outlineLevel="1" x14ac:dyDescent="0.25">
      <c r="A312" s="32" t="s">
        <v>199</v>
      </c>
      <c r="B312" s="128">
        <f>VLOOKUP(A312,'2. Fähigkeiten'!B$16:F$121,5,FALSE)</f>
        <v>0</v>
      </c>
    </row>
    <row r="313" spans="1:2" hidden="1" outlineLevel="1" x14ac:dyDescent="0.25">
      <c r="A313" s="32" t="s">
        <v>200</v>
      </c>
      <c r="B313" s="128">
        <f>VLOOKUP(A313,'2. Fähigkeiten'!B$16:F$121,5,FALSE)</f>
        <v>0</v>
      </c>
    </row>
    <row r="314" spans="1:2" hidden="1" outlineLevel="1" x14ac:dyDescent="0.25">
      <c r="A314" s="32" t="s">
        <v>201</v>
      </c>
      <c r="B314" s="128">
        <f>VLOOKUP(A314,'2. Fähigkeiten'!B$16:F$121,5,FALSE)</f>
        <v>0</v>
      </c>
    </row>
    <row r="315" spans="1:2" hidden="1" outlineLevel="1" x14ac:dyDescent="0.25">
      <c r="A315" s="32" t="s">
        <v>202</v>
      </c>
      <c r="B315" s="128">
        <f>VLOOKUP(A315,'2. Fähigkeiten'!B$16:F$121,5,FALSE)</f>
        <v>0</v>
      </c>
    </row>
    <row r="316" spans="1:2" hidden="1" outlineLevel="1" x14ac:dyDescent="0.25">
      <c r="A316" s="32" t="s">
        <v>203</v>
      </c>
      <c r="B316" s="128">
        <f>VLOOKUP(A316,'2. Fähigkeiten'!B$16:F$121,5,FALSE)</f>
        <v>0</v>
      </c>
    </row>
    <row r="317" spans="1:2" hidden="1" outlineLevel="1" x14ac:dyDescent="0.25">
      <c r="A317" s="32" t="s">
        <v>204</v>
      </c>
      <c r="B317" s="128">
        <f>VLOOKUP(A317,'2. Fähigkeiten'!B$16:F$121,5,FALSE)</f>
        <v>0</v>
      </c>
    </row>
    <row r="318" spans="1:2" hidden="1" outlineLevel="1" x14ac:dyDescent="0.25">
      <c r="A318" s="32" t="s">
        <v>205</v>
      </c>
      <c r="B318" s="128">
        <f>VLOOKUP(A318,'2. Fähigkeiten'!B$16:F$121,5,FALSE)</f>
        <v>0</v>
      </c>
    </row>
    <row r="319" spans="1:2" hidden="1" outlineLevel="1" x14ac:dyDescent="0.25">
      <c r="A319" s="32" t="s">
        <v>206</v>
      </c>
      <c r="B319" s="128">
        <f>VLOOKUP(A319,'2. Fähigkeiten'!B$16:F$121,5,FALSE)</f>
        <v>0</v>
      </c>
    </row>
    <row r="320" spans="1:2" hidden="1" outlineLevel="1" x14ac:dyDescent="0.25">
      <c r="A320" s="32" t="s">
        <v>502</v>
      </c>
      <c r="B320" s="128">
        <f>VLOOKUP(A320,'2. Fähigkeiten'!B$16:F$121,5,FALSE)</f>
        <v>0</v>
      </c>
    </row>
    <row r="321" spans="1:2" hidden="1" outlineLevel="1" x14ac:dyDescent="0.25">
      <c r="A321" s="5"/>
      <c r="B321" s="128"/>
    </row>
    <row r="322" spans="1:2" hidden="1" outlineLevel="1" x14ac:dyDescent="0.25">
      <c r="A322" s="32" t="s">
        <v>207</v>
      </c>
      <c r="B322" s="128">
        <f>VLOOKUP(A322,'2. Fähigkeiten'!B$16:F$121,5,FALSE)</f>
        <v>0</v>
      </c>
    </row>
    <row r="323" spans="1:2" hidden="1" outlineLevel="1" x14ac:dyDescent="0.25">
      <c r="A323" s="32" t="s">
        <v>208</v>
      </c>
      <c r="B323" s="128">
        <f>VLOOKUP(A323,'2. Fähigkeiten'!B$16:F$121,5,FALSE)</f>
        <v>0</v>
      </c>
    </row>
    <row r="324" spans="1:2" hidden="1" outlineLevel="1" x14ac:dyDescent="0.25">
      <c r="A324" s="32" t="s">
        <v>209</v>
      </c>
      <c r="B324" s="128">
        <f>VLOOKUP(A324,'2. Fähigkeiten'!B$16:F$121,5,FALSE)</f>
        <v>0</v>
      </c>
    </row>
    <row r="325" spans="1:2" hidden="1" outlineLevel="1" x14ac:dyDescent="0.25">
      <c r="A325" s="5" t="str">
        <f>IF(ISERROR(FIND(#REF!,'1. Allgemeines'!$B$25)),"","Kernfähigkeit")</f>
        <v/>
      </c>
      <c r="B325" s="128"/>
    </row>
    <row r="326" spans="1:2" hidden="1" outlineLevel="1" x14ac:dyDescent="0.25">
      <c r="A326" s="32" t="s">
        <v>212</v>
      </c>
      <c r="B326" s="128">
        <f>VLOOKUP(A326,'2. Fähigkeiten'!B$16:F$121,5,FALSE)</f>
        <v>0</v>
      </c>
    </row>
    <row r="327" spans="1:2" hidden="1" outlineLevel="1" x14ac:dyDescent="0.25">
      <c r="A327" s="32" t="s">
        <v>210</v>
      </c>
      <c r="B327" s="128">
        <f>VLOOKUP(A327,'2. Fähigkeiten'!B$16:F$121,5,FALSE)</f>
        <v>0</v>
      </c>
    </row>
    <row r="328" spans="1:2" hidden="1" outlineLevel="1" x14ac:dyDescent="0.25">
      <c r="A328" s="32" t="s">
        <v>211</v>
      </c>
      <c r="B328" s="128">
        <f>VLOOKUP(A328,'2. Fähigkeiten'!B$16:F$121,5,FALSE)</f>
        <v>0</v>
      </c>
    </row>
    <row r="329" spans="1:2" hidden="1" outlineLevel="1" x14ac:dyDescent="0.25">
      <c r="A329" s="5" t="str">
        <f>IF(ISERROR(FIND(#REF!,'1. Allgemeines'!$B$25)),"","Kernfähigkeit")</f>
        <v/>
      </c>
      <c r="B329" s="128"/>
    </row>
    <row r="330" spans="1:2" hidden="1" outlineLevel="1" x14ac:dyDescent="0.25">
      <c r="A330" s="32" t="s">
        <v>213</v>
      </c>
      <c r="B330" s="128">
        <f>VLOOKUP(A330,'2. Fähigkeiten'!B$16:F$121,5,FALSE)</f>
        <v>0</v>
      </c>
    </row>
    <row r="331" spans="1:2" hidden="1" outlineLevel="1" x14ac:dyDescent="0.25">
      <c r="A331" s="32" t="s">
        <v>214</v>
      </c>
      <c r="B331" s="128">
        <f>VLOOKUP(A331,'2. Fähigkeiten'!B$16:F$121,5,FALSE)</f>
        <v>0</v>
      </c>
    </row>
    <row r="332" spans="1:2" hidden="1" outlineLevel="1" x14ac:dyDescent="0.25">
      <c r="A332" s="32" t="s">
        <v>215</v>
      </c>
      <c r="B332" s="128">
        <f>VLOOKUP(A332,'2. Fähigkeiten'!B$16:F$121,5,FALSE)</f>
        <v>0</v>
      </c>
    </row>
    <row r="333" spans="1:2" hidden="1" outlineLevel="1" x14ac:dyDescent="0.25">
      <c r="A333" s="32" t="s">
        <v>216</v>
      </c>
      <c r="B333" s="128">
        <f>VLOOKUP(A333,'2. Fähigkeiten'!B$16:F$121,5,FALSE)</f>
        <v>0</v>
      </c>
    </row>
    <row r="334" spans="1:2" hidden="1" outlineLevel="1" x14ac:dyDescent="0.25">
      <c r="A334" s="5" t="str">
        <f>IF(ISERROR(FIND(#REF!,'1. Allgemeines'!$B$25)),"","Kernfähigkeit")</f>
        <v/>
      </c>
      <c r="B334" s="128"/>
    </row>
    <row r="335" spans="1:2" hidden="1" outlineLevel="1" x14ac:dyDescent="0.25">
      <c r="A335" s="32" t="s">
        <v>217</v>
      </c>
      <c r="B335" s="128">
        <f>VLOOKUP(A335,'2. Fähigkeiten'!B$16:F$121,5,FALSE)</f>
        <v>0</v>
      </c>
    </row>
    <row r="336" spans="1:2" hidden="1" outlineLevel="1" x14ac:dyDescent="0.25">
      <c r="A336" s="32" t="s">
        <v>218</v>
      </c>
      <c r="B336" s="128">
        <f>VLOOKUP(A336,'2. Fähigkeiten'!B$16:F$121,5,FALSE)</f>
        <v>0</v>
      </c>
    </row>
    <row r="337" spans="1:2" hidden="1" outlineLevel="1" x14ac:dyDescent="0.25">
      <c r="A337" s="32" t="s">
        <v>219</v>
      </c>
      <c r="B337" s="128">
        <f>VLOOKUP(A337,'2. Fähigkeiten'!B$16:F$121,5,FALSE)</f>
        <v>0</v>
      </c>
    </row>
    <row r="338" spans="1:2" hidden="1" outlineLevel="1" x14ac:dyDescent="0.25">
      <c r="A338" s="32" t="s">
        <v>220</v>
      </c>
      <c r="B338" s="128">
        <f>VLOOKUP(A338,'2. Fähigkeiten'!B$16:F$121,5,FALSE)</f>
        <v>0</v>
      </c>
    </row>
    <row r="339" spans="1:2" hidden="1" outlineLevel="1" x14ac:dyDescent="0.25">
      <c r="A339" s="5" t="str">
        <f>IF(ISERROR(FIND(#REF!,'1. Allgemeines'!$B$25)),"","Kernfähigkeit")</f>
        <v/>
      </c>
      <c r="B339" s="128"/>
    </row>
    <row r="340" spans="1:2" hidden="1" outlineLevel="1" x14ac:dyDescent="0.25">
      <c r="A340" s="32" t="s">
        <v>221</v>
      </c>
      <c r="B340" s="128">
        <f>VLOOKUP(A340,'2. Fähigkeiten'!B$16:F$121,5,FALSE)</f>
        <v>0</v>
      </c>
    </row>
    <row r="341" spans="1:2" hidden="1" outlineLevel="1" x14ac:dyDescent="0.25">
      <c r="A341" s="32" t="s">
        <v>222</v>
      </c>
      <c r="B341" s="128">
        <f>VLOOKUP(A341,'2. Fähigkeiten'!B$16:F$121,5,FALSE)</f>
        <v>0</v>
      </c>
    </row>
    <row r="342" spans="1:2" hidden="1" outlineLevel="1" x14ac:dyDescent="0.25">
      <c r="A342" s="32" t="s">
        <v>223</v>
      </c>
      <c r="B342" s="128">
        <f>VLOOKUP(A342,'2. Fähigkeiten'!B$16:F$121,5,FALSE)</f>
        <v>0</v>
      </c>
    </row>
    <row r="343" spans="1:2" hidden="1" outlineLevel="1" x14ac:dyDescent="0.25">
      <c r="A343" s="32" t="s">
        <v>224</v>
      </c>
      <c r="B343" s="128">
        <f>VLOOKUP(A343,'2. Fähigkeiten'!B$16:F$121,5,FALSE)</f>
        <v>0</v>
      </c>
    </row>
    <row r="344" spans="1:2" hidden="1" outlineLevel="1" x14ac:dyDescent="0.25">
      <c r="A344" s="5" t="str">
        <f>IF(ISERROR(FIND(#REF!,'1. Allgemeines'!$B$25)),"","Kernfähigkeit")</f>
        <v/>
      </c>
      <c r="B344" s="128"/>
    </row>
    <row r="345" spans="1:2" hidden="1" outlineLevel="1" x14ac:dyDescent="0.25">
      <c r="A345" s="32" t="s">
        <v>225</v>
      </c>
      <c r="B345" s="128">
        <f>VLOOKUP(A345,'2. Fähigkeiten'!B$16:F$121,5,FALSE)</f>
        <v>0</v>
      </c>
    </row>
    <row r="346" spans="1:2" hidden="1" outlineLevel="1" x14ac:dyDescent="0.25">
      <c r="A346" s="32" t="s">
        <v>226</v>
      </c>
      <c r="B346" s="128">
        <f>VLOOKUP(A346,'2. Fähigkeiten'!B$16:F$121,5,FALSE)</f>
        <v>0</v>
      </c>
    </row>
    <row r="347" spans="1:2" hidden="1" outlineLevel="1" x14ac:dyDescent="0.25">
      <c r="A347" s="32" t="s">
        <v>227</v>
      </c>
      <c r="B347" s="128">
        <f>VLOOKUP(A347,'2. Fähigkeiten'!B$16:F$121,5,FALSE)</f>
        <v>0</v>
      </c>
    </row>
    <row r="348" spans="1:2" hidden="1" outlineLevel="1" x14ac:dyDescent="0.25">
      <c r="A348" s="32" t="s">
        <v>228</v>
      </c>
      <c r="B348" s="128">
        <f>VLOOKUP(A348,'2. Fähigkeiten'!B$16:F$121,5,FALSE)</f>
        <v>0</v>
      </c>
    </row>
    <row r="349" spans="1:2" hidden="1" outlineLevel="1" x14ac:dyDescent="0.25">
      <c r="A349" s="5" t="str">
        <f>IF(ISERROR(FIND(#REF!,'1. Allgemeines'!$B$25)),"","Kernfähigkeit")</f>
        <v/>
      </c>
      <c r="B349" s="128"/>
    </row>
    <row r="350" spans="1:2" hidden="1" outlineLevel="1" x14ac:dyDescent="0.25">
      <c r="A350" s="32" t="s">
        <v>229</v>
      </c>
      <c r="B350" s="128">
        <f>VLOOKUP(A350,'2. Fähigkeiten'!B$16:F$121,5,FALSE)</f>
        <v>0</v>
      </c>
    </row>
    <row r="351" spans="1:2" hidden="1" outlineLevel="1" x14ac:dyDescent="0.25">
      <c r="A351" s="32" t="s">
        <v>230</v>
      </c>
      <c r="B351" s="128">
        <f>VLOOKUP(A351,'2. Fähigkeiten'!B$16:F$121,5,FALSE)</f>
        <v>0</v>
      </c>
    </row>
    <row r="352" spans="1:2" hidden="1" outlineLevel="1" x14ac:dyDescent="0.25">
      <c r="A352" s="32" t="s">
        <v>231</v>
      </c>
      <c r="B352" s="128">
        <f>VLOOKUP(A352,'2. Fähigkeiten'!B$16:F$121,5,FALSE)</f>
        <v>0</v>
      </c>
    </row>
    <row r="353" spans="1:2" hidden="1" outlineLevel="1" x14ac:dyDescent="0.25">
      <c r="A353" s="32" t="s">
        <v>232</v>
      </c>
      <c r="B353" s="128">
        <f>VLOOKUP(A353,'2. Fähigkeiten'!B$16:F$121,5,FALSE)</f>
        <v>0</v>
      </c>
    </row>
    <row r="354" spans="1:2" hidden="1" outlineLevel="1" x14ac:dyDescent="0.25">
      <c r="A354" s="32" t="s">
        <v>233</v>
      </c>
      <c r="B354" s="128">
        <f>VLOOKUP(A354,'2. Fähigkeiten'!B$16:F$121,5,FALSE)</f>
        <v>0</v>
      </c>
    </row>
    <row r="355" spans="1:2" hidden="1" outlineLevel="1" x14ac:dyDescent="0.25">
      <c r="A355" s="32" t="s">
        <v>234</v>
      </c>
      <c r="B355" s="128">
        <f>VLOOKUP(A355,'2. Fähigkeiten'!B$16:F$121,5,FALSE)</f>
        <v>0</v>
      </c>
    </row>
    <row r="356" spans="1:2" hidden="1" outlineLevel="1" x14ac:dyDescent="0.25">
      <c r="A356" s="32" t="s">
        <v>235</v>
      </c>
      <c r="B356" s="128">
        <f>VLOOKUP(A356,'2. Fähigkeiten'!B$16:F$121,5,FALSE)</f>
        <v>0</v>
      </c>
    </row>
    <row r="357" spans="1:2" hidden="1" outlineLevel="1" x14ac:dyDescent="0.25">
      <c r="A357" s="5" t="str">
        <f>IF(ISERROR(FIND(#REF!,'1. Allgemeines'!$B$25)),"","Kernfähigkeit")</f>
        <v/>
      </c>
      <c r="B357" s="128"/>
    </row>
    <row r="358" spans="1:2" hidden="1" outlineLevel="1" x14ac:dyDescent="0.25">
      <c r="A358" s="32" t="s">
        <v>236</v>
      </c>
      <c r="B358" s="128">
        <f>VLOOKUP(A358,'2. Fähigkeiten'!B$16:F$121,5,FALSE)</f>
        <v>0</v>
      </c>
    </row>
    <row r="359" spans="1:2" hidden="1" outlineLevel="1" x14ac:dyDescent="0.25">
      <c r="A359" s="32" t="s">
        <v>237</v>
      </c>
      <c r="B359" s="128">
        <f>VLOOKUP(A359,'2. Fähigkeiten'!B$16:F$121,5,FALSE)</f>
        <v>0</v>
      </c>
    </row>
    <row r="360" spans="1:2" hidden="1" outlineLevel="1" x14ac:dyDescent="0.25">
      <c r="A360" s="32" t="s">
        <v>238</v>
      </c>
      <c r="B360" s="128">
        <f>VLOOKUP(A360,'2. Fähigkeiten'!B$16:F$121,5,FALSE)</f>
        <v>0</v>
      </c>
    </row>
    <row r="361" spans="1:2" hidden="1" outlineLevel="1" x14ac:dyDescent="0.25">
      <c r="A361" s="32" t="s">
        <v>239</v>
      </c>
      <c r="B361" s="128">
        <f>VLOOKUP(A361,'2. Fähigkeiten'!B$16:F$121,5,FALSE)</f>
        <v>0</v>
      </c>
    </row>
    <row r="362" spans="1:2" hidden="1" outlineLevel="1" x14ac:dyDescent="0.25">
      <c r="A362" s="5" t="str">
        <f>IF(ISERROR(FIND(#REF!,'1. Allgemeines'!$B$25)),"","Kernfähigkeit")</f>
        <v/>
      </c>
      <c r="B362" s="128"/>
    </row>
    <row r="363" spans="1:2" hidden="1" outlineLevel="1" x14ac:dyDescent="0.25">
      <c r="A363" s="32" t="s">
        <v>240</v>
      </c>
      <c r="B363" s="128">
        <f>VLOOKUP(A363,'2. Fähigkeiten'!B$16:F$121,5,FALSE)</f>
        <v>0</v>
      </c>
    </row>
    <row r="364" spans="1:2" hidden="1" outlineLevel="1" x14ac:dyDescent="0.25">
      <c r="A364" s="32" t="s">
        <v>241</v>
      </c>
      <c r="B364" s="128">
        <f>VLOOKUP(A364,'2. Fähigkeiten'!B$16:F$121,5,FALSE)</f>
        <v>0</v>
      </c>
    </row>
    <row r="365" spans="1:2" hidden="1" outlineLevel="1" x14ac:dyDescent="0.25">
      <c r="A365" s="5" t="str">
        <f>IF(ISERROR(FIND(#REF!,'1. Allgemeines'!$B$25)),"","Kernfähigkeit")</f>
        <v/>
      </c>
      <c r="B365" s="128"/>
    </row>
    <row r="366" spans="1:2" hidden="1" outlineLevel="1" x14ac:dyDescent="0.25">
      <c r="A366" s="32" t="s">
        <v>242</v>
      </c>
      <c r="B366" s="128">
        <f>VLOOKUP(A366,'2. Fähigkeiten'!B$16:F$121,5,FALSE)</f>
        <v>0</v>
      </c>
    </row>
    <row r="367" spans="1:2" hidden="1" outlineLevel="1" x14ac:dyDescent="0.25">
      <c r="A367" s="32" t="s">
        <v>243</v>
      </c>
      <c r="B367" s="128">
        <f>VLOOKUP(A367,'2. Fähigkeiten'!B$16:F$121,5,FALSE)</f>
        <v>0</v>
      </c>
    </row>
    <row r="368" spans="1:2" hidden="1" outlineLevel="1" x14ac:dyDescent="0.25">
      <c r="A368" s="5" t="str">
        <f>IF(ISERROR(FIND(#REF!,'1. Allgemeines'!$B$25)),"","Kernfähigkeit")</f>
        <v/>
      </c>
      <c r="B368" s="128"/>
    </row>
    <row r="369" spans="1:2" hidden="1" outlineLevel="1" x14ac:dyDescent="0.25">
      <c r="A369" s="32" t="s">
        <v>244</v>
      </c>
      <c r="B369" s="128">
        <f>VLOOKUP(A369,'2. Fähigkeiten'!B$16:F$121,5,FALSE)</f>
        <v>0</v>
      </c>
    </row>
    <row r="370" spans="1:2" hidden="1" outlineLevel="1" x14ac:dyDescent="0.25">
      <c r="A370" s="32" t="s">
        <v>245</v>
      </c>
      <c r="B370" s="128">
        <f>VLOOKUP(A370,'2. Fähigkeiten'!B$16:F$121,5,FALSE)</f>
        <v>0</v>
      </c>
    </row>
    <row r="371" spans="1:2" hidden="1" outlineLevel="1" x14ac:dyDescent="0.25">
      <c r="A371" s="32" t="s">
        <v>246</v>
      </c>
      <c r="B371" s="128">
        <f>VLOOKUP(A371,'2. Fähigkeiten'!B$16:F$121,5,FALSE)</f>
        <v>0</v>
      </c>
    </row>
    <row r="372" spans="1:2" hidden="1" outlineLevel="1" x14ac:dyDescent="0.25">
      <c r="A372" s="5" t="str">
        <f>IF(ISERROR(FIND(#REF!,'1. Allgemeines'!$B$25)),"","Kernfähigkeit")</f>
        <v/>
      </c>
      <c r="B372" s="128"/>
    </row>
    <row r="373" spans="1:2" hidden="1" outlineLevel="1" x14ac:dyDescent="0.25">
      <c r="A373" s="32" t="s">
        <v>247</v>
      </c>
      <c r="B373" s="128">
        <f>VLOOKUP(A373,'2. Fähigkeiten'!B$16:F$121,5,FALSE)</f>
        <v>0</v>
      </c>
    </row>
    <row r="374" spans="1:2" hidden="1" outlineLevel="1" x14ac:dyDescent="0.25">
      <c r="A374" s="32" t="s">
        <v>248</v>
      </c>
      <c r="B374" s="128">
        <f>VLOOKUP(A374,'2. Fähigkeiten'!B$16:F$121,5,FALSE)</f>
        <v>0</v>
      </c>
    </row>
    <row r="375" spans="1:2" hidden="1" outlineLevel="1" x14ac:dyDescent="0.25">
      <c r="A375" s="32" t="s">
        <v>249</v>
      </c>
      <c r="B375" s="128">
        <f>VLOOKUP(A375,'2. Fähigkeiten'!B$16:F$121,5,FALSE)</f>
        <v>0</v>
      </c>
    </row>
    <row r="376" spans="1:2" hidden="1" collapsed="1" x14ac:dyDescent="0.25"/>
  </sheetData>
  <sheetProtection algorithmName="SHA-512" hashValue="rpoYyKKRjvWsv1UCQU+u8lwm55hA7F7jjIpqo/NMYETOHeZ4i1ZZB9U6rD50pB+u1eBLM2ou0Ca/zLPhux10Og==" saltValue="V7fNleHgiHbZ4PUiJm1Acw==" spinCount="100000" sheet="1" objects="1" scenarios="1"/>
  <sortState ref="A223:A311">
    <sortCondition ref="A223:A311"/>
  </sortState>
  <mergeCells count="380">
    <mergeCell ref="J70:J71"/>
    <mergeCell ref="C104:D104"/>
    <mergeCell ref="C124:D124"/>
    <mergeCell ref="C250:D250"/>
    <mergeCell ref="E227:H227"/>
    <mergeCell ref="D6:G9"/>
    <mergeCell ref="D5:G5"/>
    <mergeCell ref="C54:D55"/>
    <mergeCell ref="C56:D57"/>
    <mergeCell ref="C51:D51"/>
    <mergeCell ref="C35:D36"/>
    <mergeCell ref="C101:D101"/>
    <mergeCell ref="C102:D102"/>
    <mergeCell ref="C103:D103"/>
    <mergeCell ref="C105:D105"/>
    <mergeCell ref="C110:D110"/>
    <mergeCell ref="C156:D156"/>
    <mergeCell ref="C201:D201"/>
    <mergeCell ref="C227:D227"/>
    <mergeCell ref="C228:D228"/>
    <mergeCell ref="I111:I112"/>
    <mergeCell ref="I72:I73"/>
    <mergeCell ref="I87:I88"/>
    <mergeCell ref="I108:I109"/>
    <mergeCell ref="A1:I1"/>
    <mergeCell ref="A3:B3"/>
    <mergeCell ref="C14:D14"/>
    <mergeCell ref="H3:I3"/>
    <mergeCell ref="C3:G3"/>
    <mergeCell ref="F13:G13"/>
    <mergeCell ref="A37:A43"/>
    <mergeCell ref="B54:B55"/>
    <mergeCell ref="A16:A17"/>
    <mergeCell ref="B16:B17"/>
    <mergeCell ref="A25:A26"/>
    <mergeCell ref="B25:B26"/>
    <mergeCell ref="A35:A36"/>
    <mergeCell ref="B35:B36"/>
    <mergeCell ref="A54:A55"/>
    <mergeCell ref="E37:E43"/>
    <mergeCell ref="C27:D27"/>
    <mergeCell ref="C25:D26"/>
    <mergeCell ref="A44:A50"/>
    <mergeCell ref="A28:A34"/>
    <mergeCell ref="E28:E34"/>
    <mergeCell ref="F28:F34"/>
    <mergeCell ref="G28:G34"/>
    <mergeCell ref="F18:F24"/>
    <mergeCell ref="A87:A88"/>
    <mergeCell ref="A56:A57"/>
    <mergeCell ref="C90:D90"/>
    <mergeCell ref="C91:D91"/>
    <mergeCell ref="C92:D92"/>
    <mergeCell ref="C74:D74"/>
    <mergeCell ref="C86:D86"/>
    <mergeCell ref="B87:B88"/>
    <mergeCell ref="C87:D88"/>
    <mergeCell ref="C67:D67"/>
    <mergeCell ref="C68:D68"/>
    <mergeCell ref="C69:D69"/>
    <mergeCell ref="A72:A73"/>
    <mergeCell ref="B72:B73"/>
    <mergeCell ref="C72:D73"/>
    <mergeCell ref="C59:D59"/>
    <mergeCell ref="C58:D58"/>
    <mergeCell ref="B56:B57"/>
    <mergeCell ref="A70:A71"/>
    <mergeCell ref="B70:B71"/>
    <mergeCell ref="A60:A66"/>
    <mergeCell ref="C70:D71"/>
    <mergeCell ref="A111:A112"/>
    <mergeCell ref="B111:B112"/>
    <mergeCell ref="C111:D112"/>
    <mergeCell ref="C106:D106"/>
    <mergeCell ref="C107:D107"/>
    <mergeCell ref="A108:A109"/>
    <mergeCell ref="B108:B109"/>
    <mergeCell ref="C108:D109"/>
    <mergeCell ref="B260:E260"/>
    <mergeCell ref="A126:A127"/>
    <mergeCell ref="B126:B127"/>
    <mergeCell ref="C126:D127"/>
    <mergeCell ref="A128:A129"/>
    <mergeCell ref="B128:B129"/>
    <mergeCell ref="C128:D129"/>
    <mergeCell ref="A130:A132"/>
    <mergeCell ref="B130:B132"/>
    <mergeCell ref="C130:D132"/>
    <mergeCell ref="A133:A135"/>
    <mergeCell ref="B133:B135"/>
    <mergeCell ref="C133:D135"/>
    <mergeCell ref="C136:D136"/>
    <mergeCell ref="C154:D154"/>
    <mergeCell ref="C155:D155"/>
    <mergeCell ref="A148:A150"/>
    <mergeCell ref="B148:B150"/>
    <mergeCell ref="C148:D150"/>
    <mergeCell ref="C151:D151"/>
    <mergeCell ref="A121:A122"/>
    <mergeCell ref="B121:B122"/>
    <mergeCell ref="C121:D122"/>
    <mergeCell ref="C123:D123"/>
    <mergeCell ref="A143:A145"/>
    <mergeCell ref="B143:B145"/>
    <mergeCell ref="C143:D145"/>
    <mergeCell ref="A146:A147"/>
    <mergeCell ref="B146:B147"/>
    <mergeCell ref="C146:D147"/>
    <mergeCell ref="C137:D137"/>
    <mergeCell ref="A138:A139"/>
    <mergeCell ref="B138:B139"/>
    <mergeCell ref="C138:D139"/>
    <mergeCell ref="A140:A142"/>
    <mergeCell ref="B140:B142"/>
    <mergeCell ref="C140:D142"/>
    <mergeCell ref="A152:A153"/>
    <mergeCell ref="B152:B153"/>
    <mergeCell ref="C152:D153"/>
    <mergeCell ref="A163:A164"/>
    <mergeCell ref="B163:B164"/>
    <mergeCell ref="C163:D164"/>
    <mergeCell ref="A165:A166"/>
    <mergeCell ref="B165:B166"/>
    <mergeCell ref="C165:D166"/>
    <mergeCell ref="A159:A160"/>
    <mergeCell ref="B159:B160"/>
    <mergeCell ref="C159:D160"/>
    <mergeCell ref="A161:A162"/>
    <mergeCell ref="B161:B162"/>
    <mergeCell ref="C161:D162"/>
    <mergeCell ref="A157:A158"/>
    <mergeCell ref="B157:B158"/>
    <mergeCell ref="C157:D158"/>
    <mergeCell ref="A172:A174"/>
    <mergeCell ref="B172:B174"/>
    <mergeCell ref="C172:D174"/>
    <mergeCell ref="A175:A177"/>
    <mergeCell ref="B175:B177"/>
    <mergeCell ref="C175:D177"/>
    <mergeCell ref="A167:A168"/>
    <mergeCell ref="B167:B168"/>
    <mergeCell ref="C167:D168"/>
    <mergeCell ref="C169:D169"/>
    <mergeCell ref="A170:A171"/>
    <mergeCell ref="B170:B171"/>
    <mergeCell ref="C170:D171"/>
    <mergeCell ref="A183:A185"/>
    <mergeCell ref="B183:B185"/>
    <mergeCell ref="C183:D185"/>
    <mergeCell ref="A186:A188"/>
    <mergeCell ref="B186:B188"/>
    <mergeCell ref="C186:D188"/>
    <mergeCell ref="C178:D178"/>
    <mergeCell ref="A179:A180"/>
    <mergeCell ref="B179:B180"/>
    <mergeCell ref="C179:D180"/>
    <mergeCell ref="A181:A182"/>
    <mergeCell ref="B181:B182"/>
    <mergeCell ref="C181:D182"/>
    <mergeCell ref="A192:A193"/>
    <mergeCell ref="B192:B193"/>
    <mergeCell ref="C192:D193"/>
    <mergeCell ref="A194:A195"/>
    <mergeCell ref="B194:B195"/>
    <mergeCell ref="C194:D195"/>
    <mergeCell ref="A189:A190"/>
    <mergeCell ref="B189:B190"/>
    <mergeCell ref="C189:D190"/>
    <mergeCell ref="C191:D191"/>
    <mergeCell ref="A202:A205"/>
    <mergeCell ref="B202:B205"/>
    <mergeCell ref="C202:D205"/>
    <mergeCell ref="C206:D206"/>
    <mergeCell ref="A196:A197"/>
    <mergeCell ref="B196:B197"/>
    <mergeCell ref="C196:D197"/>
    <mergeCell ref="C198:D198"/>
    <mergeCell ref="A199:A200"/>
    <mergeCell ref="B199:B200"/>
    <mergeCell ref="C199:D200"/>
    <mergeCell ref="A218:A219"/>
    <mergeCell ref="B218:B219"/>
    <mergeCell ref="C218:D219"/>
    <mergeCell ref="C220:D220"/>
    <mergeCell ref="C221:D221"/>
    <mergeCell ref="C207:D207"/>
    <mergeCell ref="A208:A210"/>
    <mergeCell ref="B208:B210"/>
    <mergeCell ref="C208:D210"/>
    <mergeCell ref="A211:A217"/>
    <mergeCell ref="A231:A232"/>
    <mergeCell ref="B231:B232"/>
    <mergeCell ref="C231:D232"/>
    <mergeCell ref="C222:D222"/>
    <mergeCell ref="A223:A224"/>
    <mergeCell ref="B223:B224"/>
    <mergeCell ref="C223:D224"/>
    <mergeCell ref="C226:D226"/>
    <mergeCell ref="C238:D238"/>
    <mergeCell ref="A229:A230"/>
    <mergeCell ref="B229:B230"/>
    <mergeCell ref="A239:A241"/>
    <mergeCell ref="B239:B241"/>
    <mergeCell ref="C239:D241"/>
    <mergeCell ref="A242:A243"/>
    <mergeCell ref="B242:B243"/>
    <mergeCell ref="C242:D243"/>
    <mergeCell ref="C233:D233"/>
    <mergeCell ref="C234:D234"/>
    <mergeCell ref="C235:D235"/>
    <mergeCell ref="C236:D236"/>
    <mergeCell ref="C237:D237"/>
    <mergeCell ref="C251:D251"/>
    <mergeCell ref="A252:A254"/>
    <mergeCell ref="B252:B254"/>
    <mergeCell ref="C252:D254"/>
    <mergeCell ref="A255:A257"/>
    <mergeCell ref="B255:B257"/>
    <mergeCell ref="C255:D257"/>
    <mergeCell ref="C244:D244"/>
    <mergeCell ref="C245:D245"/>
    <mergeCell ref="C246:D246"/>
    <mergeCell ref="C247:D247"/>
    <mergeCell ref="A248:A249"/>
    <mergeCell ref="B248:B249"/>
    <mergeCell ref="C248:D249"/>
    <mergeCell ref="I121:I122"/>
    <mergeCell ref="I16:I17"/>
    <mergeCell ref="I25:I26"/>
    <mergeCell ref="I35:I36"/>
    <mergeCell ref="I54:I55"/>
    <mergeCell ref="I56:I57"/>
    <mergeCell ref="I138:I139"/>
    <mergeCell ref="I70:I71"/>
    <mergeCell ref="I140:I142"/>
    <mergeCell ref="I143:I145"/>
    <mergeCell ref="I146:I147"/>
    <mergeCell ref="I148:I150"/>
    <mergeCell ref="I126:I127"/>
    <mergeCell ref="I128:I129"/>
    <mergeCell ref="I130:I132"/>
    <mergeCell ref="I133:I135"/>
    <mergeCell ref="I186:I188"/>
    <mergeCell ref="I194:I195"/>
    <mergeCell ref="I196:I197"/>
    <mergeCell ref="I189:I190"/>
    <mergeCell ref="I165:I166"/>
    <mergeCell ref="I167:I168"/>
    <mergeCell ref="I170:I171"/>
    <mergeCell ref="I172:I174"/>
    <mergeCell ref="I175:I177"/>
    <mergeCell ref="I152:I153"/>
    <mergeCell ref="I157:I158"/>
    <mergeCell ref="I159:I160"/>
    <mergeCell ref="I161:I162"/>
    <mergeCell ref="I163:I164"/>
    <mergeCell ref="G93:G100"/>
    <mergeCell ref="H93:H100"/>
    <mergeCell ref="I255:I257"/>
    <mergeCell ref="C75:D85"/>
    <mergeCell ref="E75:E85"/>
    <mergeCell ref="F75:F85"/>
    <mergeCell ref="G75:G85"/>
    <mergeCell ref="H75:H85"/>
    <mergeCell ref="E211:E217"/>
    <mergeCell ref="F211:F217"/>
    <mergeCell ref="G211:G217"/>
    <mergeCell ref="H211:H217"/>
    <mergeCell ref="I231:I232"/>
    <mergeCell ref="I239:I241"/>
    <mergeCell ref="I242:I243"/>
    <mergeCell ref="I248:I249"/>
    <mergeCell ref="I252:I254"/>
    <mergeCell ref="I208:I210"/>
    <mergeCell ref="I218:I219"/>
    <mergeCell ref="I223:I224"/>
    <mergeCell ref="C229:D230"/>
    <mergeCell ref="E229:E230"/>
    <mergeCell ref="I229:I230"/>
    <mergeCell ref="I192:I193"/>
    <mergeCell ref="E25:E26"/>
    <mergeCell ref="H28:H34"/>
    <mergeCell ref="E60:E66"/>
    <mergeCell ref="F60:F66"/>
    <mergeCell ref="K229:K230"/>
    <mergeCell ref="C44:D50"/>
    <mergeCell ref="E44:E50"/>
    <mergeCell ref="F44:F50"/>
    <mergeCell ref="G44:G50"/>
    <mergeCell ref="H44:H50"/>
    <mergeCell ref="G60:G66"/>
    <mergeCell ref="H60:H66"/>
    <mergeCell ref="C113:D120"/>
    <mergeCell ref="F113:F120"/>
    <mergeCell ref="G113:G120"/>
    <mergeCell ref="H113:H120"/>
    <mergeCell ref="I199:I200"/>
    <mergeCell ref="I202:I205"/>
    <mergeCell ref="I179:I180"/>
    <mergeCell ref="I181:I182"/>
    <mergeCell ref="I183:I185"/>
    <mergeCell ref="C93:D100"/>
    <mergeCell ref="E93:E100"/>
    <mergeCell ref="F93:F100"/>
    <mergeCell ref="C37:D40"/>
    <mergeCell ref="C41:D43"/>
    <mergeCell ref="C60:D63"/>
    <mergeCell ref="C64:D66"/>
    <mergeCell ref="C53:D53"/>
    <mergeCell ref="C52:D52"/>
    <mergeCell ref="C16:D17"/>
    <mergeCell ref="J37:J43"/>
    <mergeCell ref="J44:J50"/>
    <mergeCell ref="J54:J55"/>
    <mergeCell ref="J56:J57"/>
    <mergeCell ref="J60:J66"/>
    <mergeCell ref="J28:J34"/>
    <mergeCell ref="J35:J36"/>
    <mergeCell ref="G18:G24"/>
    <mergeCell ref="C18:D24"/>
    <mergeCell ref="H18:H24"/>
    <mergeCell ref="E18:E24"/>
    <mergeCell ref="C28:D31"/>
    <mergeCell ref="C32:D34"/>
    <mergeCell ref="J16:J17"/>
    <mergeCell ref="E16:E17"/>
    <mergeCell ref="J18:J24"/>
    <mergeCell ref="J25:J26"/>
    <mergeCell ref="J108:J109"/>
    <mergeCell ref="J111:J112"/>
    <mergeCell ref="J113:J120"/>
    <mergeCell ref="J121:J122"/>
    <mergeCell ref="J126:J127"/>
    <mergeCell ref="J72:J73"/>
    <mergeCell ref="J75:J85"/>
    <mergeCell ref="J87:J88"/>
    <mergeCell ref="J93:J100"/>
    <mergeCell ref="J140:J142"/>
    <mergeCell ref="J143:J145"/>
    <mergeCell ref="J146:J147"/>
    <mergeCell ref="J148:J150"/>
    <mergeCell ref="J152:J153"/>
    <mergeCell ref="J128:J129"/>
    <mergeCell ref="J130:J132"/>
    <mergeCell ref="J133:J135"/>
    <mergeCell ref="J138:J139"/>
    <mergeCell ref="J167:J168"/>
    <mergeCell ref="J170:J171"/>
    <mergeCell ref="J172:J174"/>
    <mergeCell ref="J175:J177"/>
    <mergeCell ref="J179:J180"/>
    <mergeCell ref="J157:J158"/>
    <mergeCell ref="J159:J160"/>
    <mergeCell ref="J161:J162"/>
    <mergeCell ref="J163:J164"/>
    <mergeCell ref="J165:J166"/>
    <mergeCell ref="J248:J249"/>
    <mergeCell ref="J252:J254"/>
    <mergeCell ref="J255:J257"/>
    <mergeCell ref="C13:D13"/>
    <mergeCell ref="B11:I11"/>
    <mergeCell ref="J223:J224"/>
    <mergeCell ref="J229:J230"/>
    <mergeCell ref="J231:J232"/>
    <mergeCell ref="J239:J241"/>
    <mergeCell ref="J242:J243"/>
    <mergeCell ref="J208:J210"/>
    <mergeCell ref="J211:J217"/>
    <mergeCell ref="C211:D214"/>
    <mergeCell ref="C215:D217"/>
    <mergeCell ref="J218:J219"/>
    <mergeCell ref="J194:J195"/>
    <mergeCell ref="J196:J197"/>
    <mergeCell ref="J199:J200"/>
    <mergeCell ref="J202:J205"/>
    <mergeCell ref="J181:J182"/>
    <mergeCell ref="J183:J185"/>
    <mergeCell ref="J186:J188"/>
    <mergeCell ref="J189:J190"/>
    <mergeCell ref="J192:J193"/>
  </mergeCells>
  <conditionalFormatting sqref="B14 B16 B19:B69 B76:B88 B90:B92 B94:B103 B126:B224 B226:B249 B72:B74 B114:B123 B105:B112 B251:B257">
    <cfRule type="expression" dxfId="37" priority="9">
      <formula>AND($B$9&gt;0,$I14=TRUE)</formula>
    </cfRule>
  </conditionalFormatting>
  <conditionalFormatting sqref="B7">
    <cfRule type="expression" dxfId="36" priority="7">
      <formula>$B$9&lt;0</formula>
    </cfRule>
  </conditionalFormatting>
  <conditionalFormatting sqref="B70:B71">
    <cfRule type="expression" dxfId="35" priority="6">
      <formula>AND($B$9&gt;0,$I70=TRUE)</formula>
    </cfRule>
  </conditionalFormatting>
  <conditionalFormatting sqref="B104">
    <cfRule type="expression" dxfId="34" priority="5">
      <formula>AND($B$9&gt;0,$I104=TRUE)</formula>
    </cfRule>
  </conditionalFormatting>
  <conditionalFormatting sqref="B124">
    <cfRule type="expression" dxfId="33" priority="4">
      <formula>AND($B$9&gt;0,$I124=TRUE)</formula>
    </cfRule>
  </conditionalFormatting>
  <conditionalFormatting sqref="B250">
    <cfRule type="expression" dxfId="32" priority="3">
      <formula>AND($B$9&gt;0,$I250=TRUE)</formula>
    </cfRule>
  </conditionalFormatting>
  <conditionalFormatting sqref="E227:H227">
    <cfRule type="expression" dxfId="31" priority="2">
      <formula>E227&lt;&gt;""</formula>
    </cfRule>
  </conditionalFormatting>
  <conditionalFormatting sqref="B227">
    <cfRule type="expression" dxfId="30" priority="1">
      <formula>AND(B227="ja",E227&lt;&gt;"")</formula>
    </cfRule>
  </conditionalFormatting>
  <dataValidations count="5">
    <dataValidation type="list" allowBlank="1" showInputMessage="1" showErrorMessage="1" sqref="B16 B27 B35 B51:B54 B56 B58:B59 B72 B74 B114:B121 B110:B111 B90:B92 B94:B108 B130 B126 B128 B133 B136:B138 B148 B140 B143 B146 B151:B152 B154:B157 B167 B159 B161 B163 B165 B169:B170 B172 B175 B178:B179 B198:B199 B181 B183 B186 B189 B191:B192 B194 B196 B201:B202 B206:B208 B218 B220:B223 B255 B233:B239 B242 B244:B248 B250:B252 B226:B229 B231 B76:B87 B19:B25 B67:B70 B123:B124">
      <formula1>"ja,nein"</formula1>
    </dataValidation>
    <dataValidation type="whole" allowBlank="1" showInputMessage="1" showErrorMessage="1" sqref="B113">
      <formula1>0</formula1>
      <formula2>B103</formula2>
    </dataValidation>
    <dataValidation type="whole" allowBlank="1" showInputMessage="1" showErrorMessage="1" sqref="B75">
      <formula1>0</formula1>
      <formula2>B58</formula2>
    </dataValidation>
    <dataValidation type="whole" allowBlank="1" showInputMessage="1" showErrorMessage="1" sqref="B93">
      <formula1>0</formula1>
      <formula2>B74</formula2>
    </dataValidation>
    <dataValidation type="whole" allowBlank="1" showInputMessage="1" showErrorMessage="1" sqref="B18">
      <formula1>0</formula1>
      <formula2>B5</formula2>
    </dataValidation>
  </dataValidations>
  <hyperlinks>
    <hyperlink ref="C3:G3" location="Rollenspielbücher!A1" display="Rollenspielbücher!A1"/>
    <hyperlink ref="H3:I3" r:id="rId1" display="http://www.jaegers.net/"/>
    <hyperlink ref="A260" location="'4. Nachteile'!A1" display="weiter zu den Nachteilen"/>
    <hyperlink ref="B260:D260" location="'2. Fähigkeiten Spezialisierung'!H8" display="'2. Fähigkeiten Spezialisierung'!H8"/>
    <hyperlink ref="B260:E260" location="'3. Vorteile'!D5" display="'3. Vorteile'!D5"/>
    <hyperlink ref="B261" location="Charakterbogen!A1" display="Charakterbogen"/>
    <hyperlink ref="A8" location="'4. Nachteile'!B8" display="erhaltene Schicksalspunkte (Nachteile)"/>
    <hyperlink ref="E227:H227" location="'1. Allgemeines'!B21" display="'1. Allgemeines'!B21"/>
  </hyperlinks>
  <pageMargins left="0.7" right="0.7" top="0.78740157499999996" bottom="0.78740157499999996" header="0.3" footer="0.3"/>
  <pageSetup paperSize="9" orientation="portrait" horizontalDpi="0" verticalDpi="0"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'_Tabellen und Listen'!$A$166:$A$173</xm:f>
          </x14:formula1>
          <xm:sqref>B14</xm:sqref>
        </x14:dataValidation>
        <x14:dataValidation type="list" allowBlank="1" showInputMessage="1" showErrorMessage="1">
          <x14:formula1>
            <xm:f>'_Tabellen und Listen'!$B$190:$B$278</xm:f>
          </x14:formula1>
          <xm:sqref>B37:B43</xm:sqref>
        </x14:dataValidation>
        <x14:dataValidation type="list" allowBlank="1" showInputMessage="1" showErrorMessage="1">
          <x14:formula1>
            <xm:f>'_Tabellen und Listen'!$B$145:$B$163</xm:f>
          </x14:formula1>
          <xm:sqref>B60:B66</xm:sqref>
        </x14:dataValidation>
        <x14:dataValidation type="list" allowBlank="1" showInputMessage="1">
          <x14:formula1>
            <xm:f>'_Tabellen und Listen'!$B$4:$B$13</xm:f>
          </x14:formula1>
          <xm:sqref>B28:B34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3"/>
  <sheetViews>
    <sheetView showGridLines="0" showZeros="0" workbookViewId="0">
      <selection activeCell="D6" sqref="D6:G11"/>
    </sheetView>
  </sheetViews>
  <sheetFormatPr baseColWidth="10" defaultRowHeight="15" outlineLevelRow="1" x14ac:dyDescent="0.25"/>
  <cols>
    <col min="1" max="1" width="39.5703125" style="174" bestFit="1" customWidth="1"/>
    <col min="2" max="2" width="23.140625" style="174" bestFit="1" customWidth="1"/>
    <col min="3" max="3" width="12.140625" style="174" bestFit="1" customWidth="1"/>
    <col min="4" max="4" width="11.42578125" style="174"/>
    <col min="5" max="5" width="12.140625" style="174" bestFit="1" customWidth="1"/>
    <col min="6" max="6" width="22.140625" style="175" customWidth="1"/>
    <col min="7" max="7" width="3" style="176" bestFit="1" customWidth="1"/>
    <col min="8" max="8" width="14.85546875" style="176" customWidth="1"/>
    <col min="9" max="9" width="21.42578125" style="176" bestFit="1" customWidth="1"/>
    <col min="10" max="10" width="52.42578125" style="171" customWidth="1"/>
    <col min="11" max="11" width="13.42578125" style="172" hidden="1" customWidth="1"/>
    <col min="12" max="12" width="19.42578125" style="173" hidden="1" customWidth="1"/>
    <col min="13" max="13" width="44" style="173" hidden="1" customWidth="1"/>
    <col min="14" max="14" width="22.28515625" style="173" hidden="1" customWidth="1"/>
    <col min="15" max="16384" width="11.42578125" style="174"/>
  </cols>
  <sheetData>
    <row r="1" spans="1:14" ht="26.25" x14ac:dyDescent="0.4">
      <c r="A1" s="369" t="str">
        <f>'1. Allgemeines'!A1</f>
        <v>Charaktergenerierung für das Game of Thrones Rollenspiel</v>
      </c>
      <c r="B1" s="369"/>
      <c r="C1" s="369"/>
      <c r="D1" s="369"/>
      <c r="E1" s="369"/>
      <c r="F1" s="369"/>
      <c r="G1" s="369"/>
      <c r="H1" s="369"/>
      <c r="I1" s="369"/>
    </row>
    <row r="3" spans="1:14" x14ac:dyDescent="0.25">
      <c r="A3" s="370" t="s">
        <v>605</v>
      </c>
      <c r="B3" s="370"/>
      <c r="C3" s="371" t="str">
        <f>'2. Fähigkeiten'!C3:G3</f>
        <v>Regelbücher und Abenteuer</v>
      </c>
      <c r="D3" s="371"/>
      <c r="E3" s="371"/>
      <c r="F3" s="371"/>
      <c r="G3" s="371"/>
      <c r="H3" s="372" t="str">
        <f>'1. Allgemeines'!H3</f>
        <v>Version 24.8.17 © Jaegers.Net</v>
      </c>
      <c r="I3" s="372"/>
    </row>
    <row r="4" spans="1:14" ht="15.75" thickBot="1" x14ac:dyDescent="0.3"/>
    <row r="5" spans="1:14" x14ac:dyDescent="0.25">
      <c r="A5" s="177" t="s">
        <v>261</v>
      </c>
      <c r="B5" s="170">
        <f>'3. Vorteile'!B5</f>
        <v>3</v>
      </c>
      <c r="D5" s="373" t="str">
        <f>'2. Fähigkeiten'!H8:H8</f>
        <v>Warn- und Fehlermeldungen:</v>
      </c>
      <c r="E5" s="374"/>
      <c r="F5" s="374"/>
      <c r="G5" s="375"/>
    </row>
    <row r="6" spans="1:14" x14ac:dyDescent="0.25">
      <c r="A6" s="177" t="s">
        <v>600</v>
      </c>
      <c r="B6" s="169">
        <f>'3. Vorteile'!B6</f>
        <v>0</v>
      </c>
      <c r="D6" s="376" t="str">
        <f>IF(B8+B9&lt;B10,"Warnung! Noch nicht alle Nachteile vermerkt! ","")</f>
        <v/>
      </c>
      <c r="E6" s="377"/>
      <c r="F6" s="377"/>
      <c r="G6" s="378"/>
    </row>
    <row r="7" spans="1:14" ht="15" customHeight="1" x14ac:dyDescent="0.25">
      <c r="A7" s="177" t="s">
        <v>606</v>
      </c>
      <c r="B7" s="169">
        <f>'3. Vorteile'!B7</f>
        <v>0</v>
      </c>
      <c r="D7" s="376"/>
      <c r="E7" s="377"/>
      <c r="F7" s="377"/>
      <c r="G7" s="378"/>
    </row>
    <row r="8" spans="1:14" ht="15" customHeight="1" x14ac:dyDescent="0.25">
      <c r="A8" s="177" t="s">
        <v>748</v>
      </c>
      <c r="B8" s="169">
        <f>IF(AND('1. Allgemeines'!C18&gt;=4,'2. Fähigkeiten'!B13="Ja"),1,0)</f>
        <v>1</v>
      </c>
      <c r="D8" s="376"/>
      <c r="E8" s="377"/>
      <c r="F8" s="377"/>
      <c r="G8" s="378"/>
    </row>
    <row r="9" spans="1:14" ht="15" customHeight="1" x14ac:dyDescent="0.25">
      <c r="A9" s="177" t="s">
        <v>607</v>
      </c>
      <c r="B9" s="167"/>
      <c r="D9" s="376"/>
      <c r="E9" s="377"/>
      <c r="F9" s="377"/>
      <c r="G9" s="378"/>
    </row>
    <row r="10" spans="1:14" ht="15" customHeight="1" x14ac:dyDescent="0.25">
      <c r="A10" s="177" t="s">
        <v>706</v>
      </c>
      <c r="B10" s="169">
        <f>COUNTA(B16:B75)-COUNTIF(B16:B75,"nein")</f>
        <v>0</v>
      </c>
      <c r="D10" s="376"/>
      <c r="E10" s="377"/>
      <c r="F10" s="377"/>
      <c r="G10" s="378"/>
    </row>
    <row r="11" spans="1:14" ht="15.75" thickBot="1" x14ac:dyDescent="0.3">
      <c r="A11" s="177" t="s">
        <v>288</v>
      </c>
      <c r="B11" s="170">
        <f>B5-B7-B6+B9</f>
        <v>3</v>
      </c>
      <c r="D11" s="379"/>
      <c r="E11" s="380"/>
      <c r="F11" s="380"/>
      <c r="G11" s="381"/>
    </row>
    <row r="12" spans="1:14" ht="15.75" thickBot="1" x14ac:dyDescent="0.3"/>
    <row r="13" spans="1:14" ht="60" customHeight="1" thickBot="1" x14ac:dyDescent="0.3">
      <c r="A13" s="178" t="s">
        <v>143</v>
      </c>
      <c r="B13" s="365" t="s">
        <v>928</v>
      </c>
      <c r="C13" s="365"/>
      <c r="D13" s="365"/>
      <c r="E13" s="365"/>
      <c r="F13" s="365"/>
      <c r="G13" s="365"/>
      <c r="H13" s="365"/>
      <c r="I13" s="366"/>
    </row>
    <row r="15" spans="1:14" ht="30.75" thickBot="1" x14ac:dyDescent="0.3">
      <c r="A15" s="179" t="s">
        <v>608</v>
      </c>
      <c r="B15" s="180" t="str">
        <f>"Pflicht "&amp;B9+B8&amp;", max. "&amp;B5+B8&amp;" auswählen"</f>
        <v>Pflicht 1, max. 4 auswählen</v>
      </c>
      <c r="C15" s="367" t="s">
        <v>599</v>
      </c>
      <c r="D15" s="367"/>
      <c r="F15" s="368" t="s">
        <v>566</v>
      </c>
      <c r="G15" s="368"/>
      <c r="H15" s="181"/>
      <c r="I15" s="181" t="s">
        <v>580</v>
      </c>
      <c r="L15" s="173" t="s">
        <v>595</v>
      </c>
      <c r="M15" s="173" t="s">
        <v>708</v>
      </c>
      <c r="N15" s="173" t="s">
        <v>596</v>
      </c>
    </row>
    <row r="16" spans="1:14" ht="15" customHeight="1" outlineLevel="1" x14ac:dyDescent="0.25">
      <c r="A16" s="182" t="s">
        <v>609</v>
      </c>
      <c r="B16" s="210" t="s">
        <v>375</v>
      </c>
      <c r="C16" s="383" t="s">
        <v>703</v>
      </c>
      <c r="D16" s="384"/>
      <c r="E16" s="183" t="s">
        <v>704</v>
      </c>
      <c r="F16" s="184"/>
      <c r="G16" s="185"/>
      <c r="H16" s="185"/>
      <c r="I16" s="186" t="b">
        <v>1</v>
      </c>
      <c r="J16" s="187" t="str">
        <f>IF(B16="ja",A16&amp;" ("&amp;C16&amp;IF(E16&lt;&gt;"","("&amp;E16&amp;")","")&amp;")","")</f>
        <v/>
      </c>
      <c r="L16" s="173" t="str">
        <f>IF(J16="","",", "&amp;A16)</f>
        <v/>
      </c>
      <c r="M16" s="173" t="str">
        <f>IF(J16="","",", "&amp;J16)</f>
        <v/>
      </c>
    </row>
    <row r="17" spans="1:16" ht="90" customHeight="1" outlineLevel="1" x14ac:dyDescent="0.25">
      <c r="A17" s="188" t="s">
        <v>610</v>
      </c>
      <c r="B17" s="211" t="s">
        <v>375</v>
      </c>
      <c r="C17" s="382" t="s">
        <v>611</v>
      </c>
      <c r="D17" s="364"/>
      <c r="E17" s="238"/>
      <c r="F17" s="190"/>
      <c r="G17" s="191"/>
      <c r="H17" s="192" t="str">
        <f>IF(B17="ja",VLOOKUP(Reich,'_Tabellen und Listen'!B4:D14,3),"")</f>
        <v/>
      </c>
      <c r="I17" s="193" t="b">
        <v>1</v>
      </c>
      <c r="J17" s="187" t="str">
        <f t="shared" ref="J17:J74" si="0">IF(B17="ja",A17&amp;" ("&amp;C17&amp;IF(E17&lt;&gt;"","("&amp;E17&amp;")","")&amp;")","")</f>
        <v/>
      </c>
      <c r="L17" s="173" t="str">
        <f>IF(J17="",L16,L16&amp;", "&amp;A17)</f>
        <v/>
      </c>
      <c r="M17" s="173" t="str">
        <f>IF(J17="",M16,M16&amp;", "&amp;J17)</f>
        <v/>
      </c>
    </row>
    <row r="18" spans="1:16" ht="30" customHeight="1" outlineLevel="1" x14ac:dyDescent="0.25">
      <c r="A18" s="188" t="s">
        <v>612</v>
      </c>
      <c r="B18" s="211" t="s">
        <v>375</v>
      </c>
      <c r="C18" s="382" t="s">
        <v>613</v>
      </c>
      <c r="D18" s="364"/>
      <c r="E18" s="189"/>
      <c r="F18" s="190"/>
      <c r="G18" s="191"/>
      <c r="H18" s="191"/>
      <c r="I18" s="193" t="b">
        <v>1</v>
      </c>
      <c r="J18" s="187" t="str">
        <f t="shared" si="0"/>
        <v/>
      </c>
      <c r="L18" s="173" t="str">
        <f t="shared" ref="L18:L74" si="1">IF(J18="",L17,L17&amp;", "&amp;A18)</f>
        <v/>
      </c>
      <c r="M18" s="173" t="str">
        <f t="shared" ref="M18:M74" si="2">IF(J18="",M17,M17&amp;", "&amp;J18)</f>
        <v/>
      </c>
      <c r="P18" s="194"/>
    </row>
    <row r="19" spans="1:16" ht="30" customHeight="1" outlineLevel="1" x14ac:dyDescent="0.25">
      <c r="A19" s="257" t="s">
        <v>914</v>
      </c>
      <c r="B19" s="224" t="s">
        <v>375</v>
      </c>
      <c r="C19" s="363" t="s">
        <v>915</v>
      </c>
      <c r="D19" s="364"/>
      <c r="E19" s="189"/>
      <c r="F19" s="190"/>
      <c r="G19" s="191"/>
      <c r="H19" s="191"/>
      <c r="I19" s="193" t="b">
        <v>1</v>
      </c>
      <c r="J19" s="187" t="str">
        <f t="shared" ref="J19" si="3">IF(B19="ja",A19&amp;" ("&amp;C19&amp;IF(E19&lt;&gt;"","("&amp;E19&amp;")","")&amp;")","")</f>
        <v/>
      </c>
      <c r="L19" s="173" t="str">
        <f t="shared" ref="L19" si="4">IF(J19="",L18,L18&amp;", "&amp;A19)</f>
        <v/>
      </c>
      <c r="M19" s="173" t="str">
        <f t="shared" ref="M19" si="5">IF(J19="",M18,M18&amp;", "&amp;J19)</f>
        <v/>
      </c>
      <c r="P19" s="194"/>
    </row>
    <row r="20" spans="1:16" ht="30" customHeight="1" outlineLevel="1" x14ac:dyDescent="0.25">
      <c r="A20" s="257" t="s">
        <v>916</v>
      </c>
      <c r="B20" s="224" t="s">
        <v>375</v>
      </c>
      <c r="C20" s="363" t="s">
        <v>917</v>
      </c>
      <c r="D20" s="364"/>
      <c r="E20" s="189"/>
      <c r="F20" s="190"/>
      <c r="G20" s="191"/>
      <c r="H20" s="191"/>
      <c r="I20" s="193" t="b">
        <v>1</v>
      </c>
      <c r="J20" s="187" t="str">
        <f t="shared" ref="J20" si="6">IF(B20="ja",A20&amp;" ("&amp;C20&amp;IF(E20&lt;&gt;"","("&amp;E20&amp;")","")&amp;")","")</f>
        <v/>
      </c>
      <c r="L20" s="173" t="str">
        <f t="shared" ref="L20" si="7">IF(J20="",L19,L19&amp;", "&amp;A20)</f>
        <v/>
      </c>
      <c r="M20" s="173" t="str">
        <f t="shared" ref="M20" si="8">IF(J20="",M19,M19&amp;", "&amp;J20)</f>
        <v/>
      </c>
      <c r="P20" s="194"/>
    </row>
    <row r="21" spans="1:16" ht="30" customHeight="1" outlineLevel="1" x14ac:dyDescent="0.25">
      <c r="A21" s="188" t="s">
        <v>614</v>
      </c>
      <c r="B21" s="211" t="s">
        <v>375</v>
      </c>
      <c r="C21" s="382" t="s">
        <v>615</v>
      </c>
      <c r="D21" s="364"/>
      <c r="E21" s="195"/>
      <c r="F21" s="190"/>
      <c r="G21" s="191"/>
      <c r="H21" s="191"/>
      <c r="I21" s="193" t="b">
        <v>1</v>
      </c>
      <c r="J21" s="187" t="str">
        <f t="shared" si="0"/>
        <v/>
      </c>
      <c r="L21" s="173" t="str">
        <f>IF(J21="",L18,L18&amp;", "&amp;A21)</f>
        <v/>
      </c>
      <c r="M21" s="173" t="str">
        <f>IF(J21="",M18,M18&amp;", "&amp;J21)</f>
        <v/>
      </c>
    </row>
    <row r="22" spans="1:16" ht="15" customHeight="1" outlineLevel="1" x14ac:dyDescent="0.25">
      <c r="A22" s="188" t="s">
        <v>616</v>
      </c>
      <c r="B22" s="211" t="s">
        <v>375</v>
      </c>
      <c r="C22" s="382" t="s">
        <v>617</v>
      </c>
      <c r="D22" s="364"/>
      <c r="E22" s="195"/>
      <c r="F22" s="190" t="s">
        <v>339</v>
      </c>
      <c r="G22" s="191"/>
      <c r="H22" s="192" t="str">
        <f>Geschlecht</f>
        <v>männlich</v>
      </c>
      <c r="I22" s="196" t="b">
        <f>(H22=F22)</f>
        <v>1</v>
      </c>
      <c r="J22" s="187" t="str">
        <f t="shared" si="0"/>
        <v/>
      </c>
      <c r="L22" s="173" t="str">
        <f t="shared" si="1"/>
        <v/>
      </c>
      <c r="M22" s="173" t="str">
        <f t="shared" si="2"/>
        <v/>
      </c>
    </row>
    <row r="23" spans="1:16" outlineLevel="1" x14ac:dyDescent="0.25">
      <c r="A23" s="188" t="s">
        <v>618</v>
      </c>
      <c r="B23" s="211" t="s">
        <v>375</v>
      </c>
      <c r="C23" s="382" t="s">
        <v>619</v>
      </c>
      <c r="D23" s="364"/>
      <c r="E23" s="189"/>
      <c r="F23" s="190"/>
      <c r="G23" s="191"/>
      <c r="H23" s="191"/>
      <c r="I23" s="193" t="b">
        <v>1</v>
      </c>
      <c r="J23" s="187" t="str">
        <f t="shared" si="0"/>
        <v/>
      </c>
      <c r="L23" s="173" t="str">
        <f t="shared" si="1"/>
        <v/>
      </c>
      <c r="M23" s="173" t="str">
        <f t="shared" si="2"/>
        <v/>
      </c>
      <c r="O23" s="194"/>
      <c r="P23" s="194"/>
    </row>
    <row r="24" spans="1:16" ht="30.75" customHeight="1" outlineLevel="1" x14ac:dyDescent="0.25">
      <c r="A24" s="188" t="s">
        <v>620</v>
      </c>
      <c r="B24" s="211" t="s">
        <v>375</v>
      </c>
      <c r="C24" s="382" t="s">
        <v>621</v>
      </c>
      <c r="D24" s="364"/>
      <c r="E24" s="189"/>
      <c r="F24" s="190"/>
      <c r="G24" s="191"/>
      <c r="H24" s="197"/>
      <c r="I24" s="193" t="b">
        <v>1</v>
      </c>
      <c r="J24" s="187" t="str">
        <f t="shared" si="0"/>
        <v/>
      </c>
      <c r="L24" s="173" t="str">
        <f t="shared" si="1"/>
        <v/>
      </c>
      <c r="M24" s="173" t="str">
        <f t="shared" si="2"/>
        <v/>
      </c>
      <c r="O24" s="194"/>
      <c r="P24" s="194"/>
    </row>
    <row r="25" spans="1:16" ht="30" customHeight="1" outlineLevel="1" x14ac:dyDescent="0.25">
      <c r="A25" s="188" t="s">
        <v>130</v>
      </c>
      <c r="B25" s="211" t="s">
        <v>375</v>
      </c>
      <c r="C25" s="363" t="s">
        <v>622</v>
      </c>
      <c r="D25" s="364"/>
      <c r="E25" s="189"/>
      <c r="F25" s="190"/>
      <c r="G25" s="191"/>
      <c r="H25" s="197"/>
      <c r="I25" s="193" t="b">
        <v>1</v>
      </c>
      <c r="J25" s="187" t="str">
        <f t="shared" si="0"/>
        <v/>
      </c>
      <c r="L25" s="173" t="str">
        <f t="shared" si="1"/>
        <v/>
      </c>
      <c r="M25" s="173" t="str">
        <f t="shared" si="2"/>
        <v/>
      </c>
      <c r="O25" s="194"/>
      <c r="P25" s="194"/>
    </row>
    <row r="26" spans="1:16" ht="30" customHeight="1" outlineLevel="1" x14ac:dyDescent="0.25">
      <c r="A26" s="257" t="s">
        <v>918</v>
      </c>
      <c r="B26" s="224" t="s">
        <v>375</v>
      </c>
      <c r="C26" s="363" t="s">
        <v>919</v>
      </c>
      <c r="D26" s="364"/>
      <c r="E26" s="189"/>
      <c r="F26" s="190"/>
      <c r="G26" s="191"/>
      <c r="H26" s="197"/>
      <c r="I26" s="193" t="b">
        <v>1</v>
      </c>
      <c r="J26" s="187" t="str">
        <f t="shared" si="0"/>
        <v/>
      </c>
      <c r="L26" s="173" t="str">
        <f t="shared" si="1"/>
        <v/>
      </c>
      <c r="M26" s="173" t="str">
        <f t="shared" si="2"/>
        <v/>
      </c>
      <c r="P26" s="194"/>
    </row>
    <row r="27" spans="1:16" outlineLevel="1" x14ac:dyDescent="0.25">
      <c r="A27" s="188" t="s">
        <v>623</v>
      </c>
      <c r="B27" s="211" t="s">
        <v>375</v>
      </c>
      <c r="C27" s="363" t="s">
        <v>624</v>
      </c>
      <c r="D27" s="364"/>
      <c r="E27" s="189"/>
      <c r="F27" s="190"/>
      <c r="G27" s="191"/>
      <c r="H27" s="197"/>
      <c r="I27" s="193" t="b">
        <v>1</v>
      </c>
      <c r="J27" s="187" t="str">
        <f t="shared" si="0"/>
        <v/>
      </c>
      <c r="L27" s="173" t="str">
        <f>IF(J27="",L25,L25&amp;", "&amp;A27)</f>
        <v/>
      </c>
      <c r="M27" s="173" t="str">
        <f>IF(J27="",M25,M25&amp;", "&amp;J27)</f>
        <v/>
      </c>
      <c r="O27" s="194"/>
      <c r="P27" s="194"/>
    </row>
    <row r="28" spans="1:16" ht="15" customHeight="1" outlineLevel="1" x14ac:dyDescent="0.25">
      <c r="A28" s="188" t="s">
        <v>625</v>
      </c>
      <c r="B28" s="211" t="s">
        <v>375</v>
      </c>
      <c r="C28" s="382" t="s">
        <v>626</v>
      </c>
      <c r="D28" s="364"/>
      <c r="E28" s="195"/>
      <c r="F28" s="190"/>
      <c r="G28" s="191"/>
      <c r="H28" s="191"/>
      <c r="I28" s="193" t="b">
        <v>1</v>
      </c>
      <c r="J28" s="187" t="str">
        <f t="shared" si="0"/>
        <v/>
      </c>
      <c r="L28" s="173" t="str">
        <f t="shared" si="1"/>
        <v/>
      </c>
      <c r="M28" s="173" t="str">
        <f t="shared" si="2"/>
        <v/>
      </c>
    </row>
    <row r="29" spans="1:16" ht="30" customHeight="1" outlineLevel="1" x14ac:dyDescent="0.25">
      <c r="A29" s="198" t="s">
        <v>627</v>
      </c>
      <c r="B29" s="211" t="s">
        <v>375</v>
      </c>
      <c r="C29" s="382" t="s">
        <v>628</v>
      </c>
      <c r="D29" s="364"/>
      <c r="E29" s="189"/>
      <c r="F29" s="190"/>
      <c r="G29" s="191"/>
      <c r="H29" s="191"/>
      <c r="I29" s="193" t="b">
        <v>1</v>
      </c>
      <c r="J29" s="187" t="str">
        <f t="shared" si="0"/>
        <v/>
      </c>
      <c r="L29" s="173" t="str">
        <f t="shared" si="1"/>
        <v/>
      </c>
      <c r="M29" s="173" t="str">
        <f t="shared" si="2"/>
        <v/>
      </c>
      <c r="O29" s="194"/>
      <c r="P29" s="194"/>
    </row>
    <row r="30" spans="1:16" ht="45.75" customHeight="1" outlineLevel="1" x14ac:dyDescent="0.25">
      <c r="A30" s="198" t="s">
        <v>629</v>
      </c>
      <c r="B30" s="211" t="s">
        <v>375</v>
      </c>
      <c r="C30" s="382" t="s">
        <v>630</v>
      </c>
      <c r="D30" s="364"/>
      <c r="E30" s="189"/>
      <c r="F30" s="190"/>
      <c r="G30" s="191"/>
      <c r="H30" s="191"/>
      <c r="I30" s="193" t="b">
        <v>1</v>
      </c>
      <c r="J30" s="187" t="str">
        <f t="shared" si="0"/>
        <v/>
      </c>
      <c r="L30" s="173" t="str">
        <f t="shared" si="1"/>
        <v/>
      </c>
      <c r="M30" s="173" t="str">
        <f t="shared" si="2"/>
        <v/>
      </c>
      <c r="O30" s="194"/>
      <c r="P30" s="194"/>
    </row>
    <row r="31" spans="1:16" ht="30" customHeight="1" outlineLevel="1" x14ac:dyDescent="0.25">
      <c r="A31" s="188" t="s">
        <v>631</v>
      </c>
      <c r="B31" s="211" t="s">
        <v>375</v>
      </c>
      <c r="C31" s="382" t="s">
        <v>632</v>
      </c>
      <c r="D31" s="364"/>
      <c r="E31" s="195"/>
      <c r="F31" s="190" t="s">
        <v>633</v>
      </c>
      <c r="G31" s="191"/>
      <c r="H31" s="192" t="str">
        <f>'1. Allgemeines'!H18</f>
        <v>Mittleren Alters</v>
      </c>
      <c r="I31" s="196" t="b">
        <f>OR(H31="Alt",H31="Sehr Alt",H31="Greis")</f>
        <v>0</v>
      </c>
      <c r="J31" s="187" t="str">
        <f t="shared" si="0"/>
        <v/>
      </c>
      <c r="L31" s="173" t="str">
        <f t="shared" si="1"/>
        <v/>
      </c>
      <c r="M31" s="173" t="str">
        <f t="shared" si="2"/>
        <v/>
      </c>
    </row>
    <row r="32" spans="1:16" ht="30" customHeight="1" outlineLevel="1" x14ac:dyDescent="0.25">
      <c r="A32" s="198" t="s">
        <v>634</v>
      </c>
      <c r="B32" s="211" t="s">
        <v>375</v>
      </c>
      <c r="C32" s="382" t="s">
        <v>637</v>
      </c>
      <c r="D32" s="364"/>
      <c r="E32" s="189"/>
      <c r="F32" s="190"/>
      <c r="G32" s="191"/>
      <c r="H32" s="191"/>
      <c r="I32" s="193" t="b">
        <v>1</v>
      </c>
      <c r="J32" s="187" t="str">
        <f t="shared" si="0"/>
        <v/>
      </c>
      <c r="L32" s="173" t="str">
        <f t="shared" si="1"/>
        <v/>
      </c>
      <c r="M32" s="173" t="str">
        <f t="shared" si="2"/>
        <v/>
      </c>
      <c r="O32" s="194"/>
      <c r="P32" s="194"/>
    </row>
    <row r="33" spans="1:16" ht="30" customHeight="1" outlineLevel="1" x14ac:dyDescent="0.25">
      <c r="A33" s="198" t="s">
        <v>635</v>
      </c>
      <c r="B33" s="211" t="s">
        <v>375</v>
      </c>
      <c r="C33" s="382" t="s">
        <v>638</v>
      </c>
      <c r="D33" s="364"/>
      <c r="E33" s="189" t="s">
        <v>704</v>
      </c>
      <c r="F33" s="190"/>
      <c r="G33" s="191"/>
      <c r="H33" s="191"/>
      <c r="I33" s="193" t="b">
        <v>1</v>
      </c>
      <c r="J33" s="187" t="str">
        <f t="shared" si="0"/>
        <v/>
      </c>
      <c r="L33" s="173" t="str">
        <f t="shared" si="1"/>
        <v/>
      </c>
      <c r="M33" s="173" t="str">
        <f t="shared" si="2"/>
        <v/>
      </c>
      <c r="O33" s="194"/>
      <c r="P33" s="194"/>
    </row>
    <row r="34" spans="1:16" ht="30" customHeight="1" outlineLevel="1" x14ac:dyDescent="0.25">
      <c r="A34" s="257" t="s">
        <v>920</v>
      </c>
      <c r="B34" s="224" t="s">
        <v>375</v>
      </c>
      <c r="C34" s="363" t="s">
        <v>921</v>
      </c>
      <c r="D34" s="364"/>
      <c r="E34" s="189"/>
      <c r="F34" s="190"/>
      <c r="G34" s="191"/>
      <c r="H34" s="191"/>
      <c r="I34" s="193" t="b">
        <v>1</v>
      </c>
      <c r="J34" s="187" t="str">
        <f t="shared" ref="J34" si="9">IF(B34="ja",A34&amp;" ("&amp;C34&amp;IF(E34&lt;&gt;"","("&amp;E34&amp;")","")&amp;")","")</f>
        <v/>
      </c>
      <c r="L34" s="173" t="str">
        <f t="shared" ref="L34" si="10">IF(J34="",L33,L33&amp;", "&amp;A34)</f>
        <v/>
      </c>
      <c r="M34" s="173" t="str">
        <f t="shared" ref="M34" si="11">IF(J34="",M33,M33&amp;", "&amp;J34)</f>
        <v/>
      </c>
      <c r="P34" s="194"/>
    </row>
    <row r="35" spans="1:16" ht="60" customHeight="1" outlineLevel="1" x14ac:dyDescent="0.25">
      <c r="A35" s="198" t="s">
        <v>636</v>
      </c>
      <c r="B35" s="211" t="s">
        <v>375</v>
      </c>
      <c r="C35" s="363" t="s">
        <v>672</v>
      </c>
      <c r="D35" s="364"/>
      <c r="E35" s="189"/>
      <c r="F35" s="190"/>
      <c r="G35" s="191"/>
      <c r="H35" s="191"/>
      <c r="I35" s="193" t="b">
        <v>1</v>
      </c>
      <c r="J35" s="187" t="str">
        <f t="shared" si="0"/>
        <v/>
      </c>
      <c r="L35" s="173" t="str">
        <f t="shared" ref="L35:L55" si="12">IF(J35="",L34,L34&amp;", "&amp;A35)</f>
        <v/>
      </c>
      <c r="M35" s="173" t="str">
        <f t="shared" ref="M35:M55" si="13">IF(J35="",M34,M34&amp;", "&amp;J35)</f>
        <v/>
      </c>
      <c r="O35" s="194"/>
      <c r="P35" s="194"/>
    </row>
    <row r="36" spans="1:16" ht="30" customHeight="1" outlineLevel="1" x14ac:dyDescent="0.25">
      <c r="A36" s="198" t="str">
        <f>"Makel "&amp;'_Tabellen und Listen'!C145</f>
        <v>Makel Vielsitzend</v>
      </c>
      <c r="B36" s="236" t="s">
        <v>375</v>
      </c>
      <c r="C36" s="363" t="str">
        <f>"Erhalte -1W für alle Proben auf "&amp;'_Tabellen und Listen'!B145&amp;"."</f>
        <v>Erhalte -1W für alle Proben auf Athletik.</v>
      </c>
      <c r="D36" s="364"/>
      <c r="E36" s="354" t="str">
        <f>"Pflichtmakel: "&amp;'2. Fähigkeiten'!B12&amp;IF(B8=1," (ein Makel davon wird durch einen anderen Nachteil erfüllt.)","")</f>
        <v>Pflichtmakel: 1 aus Athletik, Ausdauer, Gewandtheit (ein Makel davon wird durch einen anderen Nachteil erfüllt.)</v>
      </c>
      <c r="F36" s="355"/>
      <c r="G36" s="356"/>
      <c r="H36" s="191"/>
      <c r="I36" s="193" t="b">
        <v>1</v>
      </c>
      <c r="J36" s="187" t="str">
        <f t="shared" si="0"/>
        <v/>
      </c>
      <c r="L36" s="173" t="str">
        <f t="shared" si="12"/>
        <v/>
      </c>
      <c r="M36" s="173" t="str">
        <f t="shared" si="13"/>
        <v/>
      </c>
      <c r="O36" s="194"/>
      <c r="P36" s="194"/>
    </row>
    <row r="37" spans="1:16" ht="30" customHeight="1" outlineLevel="1" x14ac:dyDescent="0.25">
      <c r="A37" s="198" t="str">
        <f>"Makel "&amp;'_Tabellen und Listen'!C146</f>
        <v>Makel Gebrechlich</v>
      </c>
      <c r="B37" s="236" t="s">
        <v>375</v>
      </c>
      <c r="C37" s="363" t="str">
        <f>"Erhalte -1W für alle Proben auf "&amp;'_Tabellen und Listen'!B146&amp;"."</f>
        <v>Erhalte -1W für alle Proben auf Ausdauer.</v>
      </c>
      <c r="D37" s="364"/>
      <c r="E37" s="357"/>
      <c r="F37" s="358"/>
      <c r="G37" s="359"/>
      <c r="H37" s="191"/>
      <c r="I37" s="193" t="b">
        <v>1</v>
      </c>
      <c r="J37" s="187" t="str">
        <f t="shared" si="0"/>
        <v/>
      </c>
      <c r="L37" s="173" t="str">
        <f t="shared" si="12"/>
        <v/>
      </c>
      <c r="M37" s="173" t="str">
        <f t="shared" si="13"/>
        <v/>
      </c>
      <c r="O37" s="194"/>
      <c r="P37" s="194"/>
    </row>
    <row r="38" spans="1:16" ht="30" customHeight="1" outlineLevel="1" x14ac:dyDescent="0.25">
      <c r="A38" s="198" t="str">
        <f>"Makel "&amp;'_Tabellen und Listen'!C147</f>
        <v>Makel Plump</v>
      </c>
      <c r="B38" s="236" t="s">
        <v>375</v>
      </c>
      <c r="C38" s="363" t="str">
        <f>"Erhalte -1W für alle Proben auf "&amp;'_Tabellen und Listen'!B147&amp;"."</f>
        <v>Erhalte -1W für alle Proben auf Diebeskunst.</v>
      </c>
      <c r="D38" s="364"/>
      <c r="E38" s="357"/>
      <c r="F38" s="358"/>
      <c r="G38" s="359"/>
      <c r="H38" s="191"/>
      <c r="I38" s="193" t="b">
        <v>1</v>
      </c>
      <c r="J38" s="187" t="str">
        <f t="shared" si="0"/>
        <v/>
      </c>
      <c r="L38" s="173" t="str">
        <f t="shared" si="12"/>
        <v/>
      </c>
      <c r="M38" s="173" t="str">
        <f t="shared" si="13"/>
        <v/>
      </c>
      <c r="O38" s="194"/>
      <c r="P38" s="194"/>
    </row>
    <row r="39" spans="1:16" ht="30" customHeight="1" outlineLevel="1" x14ac:dyDescent="0.25">
      <c r="A39" s="198" t="str">
        <f>"Makel "&amp;'_Tabellen und Listen'!C148</f>
        <v>Makel Ungelenk</v>
      </c>
      <c r="B39" s="236" t="s">
        <v>375</v>
      </c>
      <c r="C39" s="363" t="str">
        <f>"Erhalte -1W für alle Proben auf "&amp;'_Tabellen und Listen'!B148&amp;"."</f>
        <v>Erhalte -1W für alle Proben auf Gewandtheit.</v>
      </c>
      <c r="D39" s="364"/>
      <c r="E39" s="357"/>
      <c r="F39" s="358"/>
      <c r="G39" s="359"/>
      <c r="H39" s="191"/>
      <c r="I39" s="193" t="b">
        <v>1</v>
      </c>
      <c r="J39" s="187" t="str">
        <f t="shared" si="0"/>
        <v/>
      </c>
      <c r="L39" s="173" t="str">
        <f t="shared" si="12"/>
        <v/>
      </c>
      <c r="M39" s="173" t="str">
        <f t="shared" si="13"/>
        <v/>
      </c>
      <c r="O39" s="194"/>
      <c r="P39" s="194"/>
    </row>
    <row r="40" spans="1:16" ht="30" customHeight="1" outlineLevel="1" x14ac:dyDescent="0.25">
      <c r="A40" s="198" t="str">
        <f>"Makel "&amp;'_Tabellen und Listen'!C149</f>
        <v>Makel Unsensibel</v>
      </c>
      <c r="B40" s="236" t="s">
        <v>375</v>
      </c>
      <c r="C40" s="363" t="str">
        <f>"Erhalte -1W für alle Proben auf "&amp;'_Tabellen und Listen'!B149&amp;"."</f>
        <v>Erhalte -1W für alle Proben auf Heilkunst.</v>
      </c>
      <c r="D40" s="364"/>
      <c r="E40" s="357"/>
      <c r="F40" s="358"/>
      <c r="G40" s="359"/>
      <c r="H40" s="191"/>
      <c r="I40" s="193" t="b">
        <v>1</v>
      </c>
      <c r="J40" s="187" t="str">
        <f t="shared" si="0"/>
        <v/>
      </c>
      <c r="L40" s="173" t="str">
        <f t="shared" si="12"/>
        <v/>
      </c>
      <c r="M40" s="173" t="str">
        <f t="shared" si="13"/>
        <v/>
      </c>
      <c r="O40" s="194"/>
      <c r="P40" s="194"/>
    </row>
    <row r="41" spans="1:16" ht="30" customHeight="1" outlineLevel="1" x14ac:dyDescent="0.25">
      <c r="A41" s="198" t="str">
        <f>"Makel "&amp;'_Tabellen und Listen'!C150</f>
        <v>Makel Unfähig</v>
      </c>
      <c r="B41" s="236" t="s">
        <v>375</v>
      </c>
      <c r="C41" s="363" t="str">
        <f>"Erhalte -1W für alle Proben auf "&amp;'_Tabellen und Listen'!B150&amp;"."</f>
        <v>Erhalte -1W für alle Proben auf Kampf.</v>
      </c>
      <c r="D41" s="364"/>
      <c r="E41" s="357"/>
      <c r="F41" s="358"/>
      <c r="G41" s="359"/>
      <c r="H41" s="191"/>
      <c r="I41" s="193" t="b">
        <v>1</v>
      </c>
      <c r="J41" s="187" t="str">
        <f t="shared" si="0"/>
        <v/>
      </c>
      <c r="L41" s="173" t="str">
        <f t="shared" si="12"/>
        <v/>
      </c>
      <c r="M41" s="173" t="str">
        <f t="shared" si="13"/>
        <v/>
      </c>
      <c r="O41" s="194"/>
      <c r="P41" s="194"/>
    </row>
    <row r="42" spans="1:16" ht="30" customHeight="1" outlineLevel="1" x14ac:dyDescent="0.25">
      <c r="A42" s="198" t="str">
        <f>"Makel "&amp;'_Tabellen und Listen'!C151</f>
        <v>Makel Ängstlich</v>
      </c>
      <c r="B42" s="236" t="s">
        <v>375</v>
      </c>
      <c r="C42" s="363" t="str">
        <f>"Erhalte -1W für alle Proben auf "&amp;'_Tabellen und Listen'!B151&amp;"."</f>
        <v>Erhalte -1W für alle Proben auf Kriegsführung.</v>
      </c>
      <c r="D42" s="364"/>
      <c r="E42" s="357"/>
      <c r="F42" s="358"/>
      <c r="G42" s="359"/>
      <c r="H42" s="191"/>
      <c r="I42" s="193" t="b">
        <v>1</v>
      </c>
      <c r="J42" s="187" t="str">
        <f t="shared" si="0"/>
        <v/>
      </c>
      <c r="L42" s="173" t="str">
        <f t="shared" si="12"/>
        <v/>
      </c>
      <c r="M42" s="173" t="str">
        <f t="shared" si="13"/>
        <v/>
      </c>
      <c r="O42" s="194"/>
      <c r="P42" s="194"/>
    </row>
    <row r="43" spans="1:16" ht="30" customHeight="1" outlineLevel="1" x14ac:dyDescent="0.25">
      <c r="A43" s="198" t="str">
        <f>"Makel "&amp;'_Tabellen und Listen'!C152</f>
        <v>Makel Dumm</v>
      </c>
      <c r="B43" s="236" t="s">
        <v>375</v>
      </c>
      <c r="C43" s="363" t="str">
        <f>"Erhalte -1W für alle Proben auf "&amp;'_Tabellen und Listen'!B152&amp;"."</f>
        <v>Erhalte -1W für alle Proben auf Scharfsinn.</v>
      </c>
      <c r="D43" s="364"/>
      <c r="E43" s="357"/>
      <c r="F43" s="358"/>
      <c r="G43" s="359"/>
      <c r="H43" s="191"/>
      <c r="I43" s="193" t="b">
        <v>1</v>
      </c>
      <c r="J43" s="187" t="str">
        <f t="shared" si="0"/>
        <v/>
      </c>
      <c r="L43" s="173" t="str">
        <f t="shared" si="12"/>
        <v/>
      </c>
      <c r="M43" s="173" t="str">
        <f t="shared" si="13"/>
        <v/>
      </c>
      <c r="O43" s="194"/>
      <c r="P43" s="194"/>
    </row>
    <row r="44" spans="1:16" ht="30" customHeight="1" outlineLevel="1" x14ac:dyDescent="0.25">
      <c r="A44" s="198" t="str">
        <f>"Makel "&amp;'_Tabellen und Listen'!C153</f>
        <v>Makel Wackelig</v>
      </c>
      <c r="B44" s="236" t="s">
        <v>375</v>
      </c>
      <c r="C44" s="363" t="str">
        <f>"Erhalte -1W für alle Proben auf "&amp;'_Tabellen und Listen'!B153&amp;"."</f>
        <v>Erhalte -1W für alle Proben auf Schiesskunst.</v>
      </c>
      <c r="D44" s="364"/>
      <c r="E44" s="357"/>
      <c r="F44" s="358"/>
      <c r="G44" s="359"/>
      <c r="H44" s="191"/>
      <c r="I44" s="193" t="b">
        <v>1</v>
      </c>
      <c r="J44" s="187" t="str">
        <f t="shared" si="0"/>
        <v/>
      </c>
      <c r="L44" s="173" t="str">
        <f t="shared" si="12"/>
        <v/>
      </c>
      <c r="M44" s="173" t="str">
        <f t="shared" si="13"/>
        <v/>
      </c>
      <c r="O44" s="194"/>
      <c r="P44" s="194"/>
    </row>
    <row r="45" spans="1:16" ht="30" customHeight="1" outlineLevel="1" x14ac:dyDescent="0.25">
      <c r="A45" s="198" t="str">
        <f>"Makel "&amp;'_Tabellen und Listen'!C154</f>
        <v>Makel Schweigsam</v>
      </c>
      <c r="B45" s="236" t="s">
        <v>375</v>
      </c>
      <c r="C45" s="363" t="str">
        <f>"Erhalte -1W für alle Proben auf "&amp;'_Tabellen und Listen'!B154&amp;"."</f>
        <v>Erhalte -1W für alle Proben auf Sprache.</v>
      </c>
      <c r="D45" s="364"/>
      <c r="E45" s="357"/>
      <c r="F45" s="358"/>
      <c r="G45" s="359"/>
      <c r="H45" s="191"/>
      <c r="I45" s="193" t="b">
        <v>1</v>
      </c>
      <c r="J45" s="187" t="str">
        <f t="shared" si="0"/>
        <v/>
      </c>
      <c r="L45" s="173" t="str">
        <f t="shared" si="12"/>
        <v/>
      </c>
      <c r="M45" s="173" t="str">
        <f t="shared" si="13"/>
        <v/>
      </c>
      <c r="O45" s="194"/>
      <c r="P45" s="194"/>
    </row>
    <row r="46" spans="1:16" ht="30" customHeight="1" outlineLevel="1" x14ac:dyDescent="0.25">
      <c r="A46" s="198" t="str">
        <f>"Makel "&amp;'_Tabellen und Listen'!C155</f>
        <v>Makel Jämmerlich</v>
      </c>
      <c r="B46" s="236" t="s">
        <v>375</v>
      </c>
      <c r="C46" s="363" t="str">
        <f>"Erhalte -1W für alle Proben auf "&amp;'_Tabellen und Listen'!B155&amp;"."</f>
        <v>Erhalte -1W für alle Proben auf Status.</v>
      </c>
      <c r="D46" s="364"/>
      <c r="E46" s="357"/>
      <c r="F46" s="358"/>
      <c r="G46" s="359"/>
      <c r="H46" s="191"/>
      <c r="I46" s="193" t="b">
        <v>1</v>
      </c>
      <c r="J46" s="187" t="str">
        <f t="shared" si="0"/>
        <v/>
      </c>
      <c r="L46" s="173" t="str">
        <f t="shared" si="12"/>
        <v/>
      </c>
      <c r="M46" s="173" t="str">
        <f t="shared" si="13"/>
        <v/>
      </c>
      <c r="O46" s="194"/>
      <c r="P46" s="194"/>
    </row>
    <row r="47" spans="1:16" ht="30" customHeight="1" outlineLevel="1" x14ac:dyDescent="0.25">
      <c r="A47" s="198" t="str">
        <f>"Makel "&amp;'_Tabellen und Listen'!C156</f>
        <v>Makel Durchschaubar</v>
      </c>
      <c r="B47" s="236" t="s">
        <v>375</v>
      </c>
      <c r="C47" s="363" t="str">
        <f>"Erhalte -1W für alle Proben auf "&amp;'_Tabellen und Listen'!B156&amp;"."</f>
        <v>Erhalte -1W für alle Proben auf Täuschung.</v>
      </c>
      <c r="D47" s="364"/>
      <c r="E47" s="357"/>
      <c r="F47" s="358"/>
      <c r="G47" s="359"/>
      <c r="H47" s="191"/>
      <c r="I47" s="193" t="b">
        <v>1</v>
      </c>
      <c r="J47" s="187" t="str">
        <f t="shared" si="0"/>
        <v/>
      </c>
      <c r="L47" s="173" t="str">
        <f t="shared" si="12"/>
        <v/>
      </c>
      <c r="M47" s="173" t="str">
        <f t="shared" si="13"/>
        <v/>
      </c>
      <c r="O47" s="194"/>
      <c r="P47" s="194"/>
    </row>
    <row r="48" spans="1:16" ht="30" customHeight="1" outlineLevel="1" x14ac:dyDescent="0.25">
      <c r="A48" s="198" t="str">
        <f>"Makel "&amp;'_Tabellen und Listen'!C157</f>
        <v>Makel Verwöhnt</v>
      </c>
      <c r="B48" s="236" t="s">
        <v>375</v>
      </c>
      <c r="C48" s="363" t="str">
        <f>"Erhalte -1W für alle Proben auf "&amp;'_Tabellen und Listen'!B157&amp;"."</f>
        <v>Erhalte -1W für alle Proben auf Überleben.</v>
      </c>
      <c r="D48" s="364"/>
      <c r="E48" s="357"/>
      <c r="F48" s="358"/>
      <c r="G48" s="359"/>
      <c r="H48" s="191"/>
      <c r="I48" s="193" t="b">
        <v>1</v>
      </c>
      <c r="J48" s="187" t="str">
        <f t="shared" si="0"/>
        <v/>
      </c>
      <c r="L48" s="173" t="str">
        <f t="shared" si="12"/>
        <v/>
      </c>
      <c r="M48" s="173" t="str">
        <f t="shared" si="13"/>
        <v/>
      </c>
      <c r="O48" s="194"/>
      <c r="P48" s="194"/>
    </row>
    <row r="49" spans="1:16" ht="30" customHeight="1" outlineLevel="1" x14ac:dyDescent="0.25">
      <c r="A49" s="198" t="str">
        <f>"Makel "&amp;'_Tabellen und Listen'!C158</f>
        <v>Makel Schüchtern</v>
      </c>
      <c r="B49" s="236" t="s">
        <v>375</v>
      </c>
      <c r="C49" s="363" t="str">
        <f>"Erhalte -1W für alle Proben auf "&amp;'_Tabellen und Listen'!B158&amp;"."</f>
        <v>Erhalte -1W für alle Proben auf Überredung.</v>
      </c>
      <c r="D49" s="364"/>
      <c r="E49" s="357"/>
      <c r="F49" s="358"/>
      <c r="G49" s="359"/>
      <c r="H49" s="191"/>
      <c r="I49" s="193" t="b">
        <v>1</v>
      </c>
      <c r="J49" s="187" t="str">
        <f t="shared" si="0"/>
        <v/>
      </c>
      <c r="L49" s="173" t="str">
        <f t="shared" si="12"/>
        <v/>
      </c>
      <c r="M49" s="173" t="str">
        <f t="shared" si="13"/>
        <v/>
      </c>
      <c r="O49" s="194"/>
      <c r="P49" s="194"/>
    </row>
    <row r="50" spans="1:16" ht="30" customHeight="1" outlineLevel="1" x14ac:dyDescent="0.25">
      <c r="A50" s="198" t="str">
        <f>"Makel "&amp;'_Tabellen und Listen'!C159</f>
        <v>Makel erzlos</v>
      </c>
      <c r="B50" s="236" t="s">
        <v>375</v>
      </c>
      <c r="C50" s="363" t="str">
        <f>"Erhalte -1W für alle Proben auf "&amp;'_Tabellen und Listen'!B159&amp;"."</f>
        <v>Erhalte -1W für alle Proben auf Umgang mit Tieren.</v>
      </c>
      <c r="D50" s="364"/>
      <c r="E50" s="357"/>
      <c r="F50" s="358"/>
      <c r="G50" s="359"/>
      <c r="H50" s="191"/>
      <c r="I50" s="193" t="b">
        <v>1</v>
      </c>
      <c r="J50" s="187" t="str">
        <f t="shared" si="0"/>
        <v/>
      </c>
      <c r="L50" s="173" t="str">
        <f t="shared" si="12"/>
        <v/>
      </c>
      <c r="M50" s="173" t="str">
        <f t="shared" si="13"/>
        <v/>
      </c>
      <c r="O50" s="194"/>
      <c r="P50" s="194"/>
    </row>
    <row r="51" spans="1:16" ht="30" customHeight="1" outlineLevel="1" x14ac:dyDescent="0.25">
      <c r="A51" s="198" t="str">
        <f>"Makel "&amp;'_Tabellen und Listen'!C160</f>
        <v>Makel Auffällig</v>
      </c>
      <c r="B51" s="236" t="s">
        <v>375</v>
      </c>
      <c r="C51" s="363" t="str">
        <f>"Erhalte -1W für alle Proben auf "&amp;'_Tabellen und Listen'!B160&amp;"."</f>
        <v>Erhalte -1W für alle Proben auf Verstohlenheit.</v>
      </c>
      <c r="D51" s="364"/>
      <c r="E51" s="357"/>
      <c r="F51" s="358"/>
      <c r="G51" s="359"/>
      <c r="H51" s="191"/>
      <c r="I51" s="193" t="b">
        <v>1</v>
      </c>
      <c r="J51" s="187" t="str">
        <f t="shared" si="0"/>
        <v/>
      </c>
      <c r="L51" s="173" t="str">
        <f t="shared" si="12"/>
        <v/>
      </c>
      <c r="M51" s="173" t="str">
        <f t="shared" si="13"/>
        <v/>
      </c>
      <c r="O51" s="194"/>
      <c r="P51" s="194"/>
    </row>
    <row r="52" spans="1:16" ht="30" customHeight="1" outlineLevel="1" x14ac:dyDescent="0.25">
      <c r="A52" s="198" t="str">
        <f>"Makel "&amp;'_Tabellen und Listen'!C161</f>
        <v>Makel Stumpfsinnig</v>
      </c>
      <c r="B52" s="236" t="s">
        <v>375</v>
      </c>
      <c r="C52" s="363" t="str">
        <f>"Erhalte -1W für alle Proben auf "&amp;'_Tabellen und Listen'!B161&amp;"."</f>
        <v>Erhalte -1W für alle Proben auf Wahrnehmung.</v>
      </c>
      <c r="D52" s="364"/>
      <c r="E52" s="357"/>
      <c r="F52" s="358"/>
      <c r="G52" s="359"/>
      <c r="H52" s="191"/>
      <c r="I52" s="193" t="b">
        <v>1</v>
      </c>
      <c r="J52" s="187" t="str">
        <f t="shared" si="0"/>
        <v/>
      </c>
      <c r="L52" s="173" t="str">
        <f t="shared" si="12"/>
        <v/>
      </c>
      <c r="M52" s="173" t="str">
        <f t="shared" si="13"/>
        <v/>
      </c>
      <c r="O52" s="194"/>
      <c r="P52" s="194"/>
    </row>
    <row r="53" spans="1:16" ht="30" customHeight="1" outlineLevel="1" x14ac:dyDescent="0.25">
      <c r="A53" s="198" t="str">
        <f>"Makel "&amp;'_Tabellen und Listen'!C162</f>
        <v>Makel Ungestüm</v>
      </c>
      <c r="B53" s="236" t="s">
        <v>375</v>
      </c>
      <c r="C53" s="363" t="str">
        <f>"Erhalte -1W für alle Proben auf "&amp;'_Tabellen und Listen'!B162&amp;"."</f>
        <v>Erhalte -1W für alle Proben auf Wille.</v>
      </c>
      <c r="D53" s="364"/>
      <c r="E53" s="357"/>
      <c r="F53" s="358"/>
      <c r="G53" s="359"/>
      <c r="H53" s="191"/>
      <c r="I53" s="193" t="b">
        <v>1</v>
      </c>
      <c r="J53" s="187" t="str">
        <f t="shared" si="0"/>
        <v/>
      </c>
      <c r="L53" s="173" t="str">
        <f t="shared" si="12"/>
        <v/>
      </c>
      <c r="M53" s="173" t="str">
        <f t="shared" si="13"/>
        <v/>
      </c>
      <c r="O53" s="194"/>
      <c r="P53" s="194"/>
    </row>
    <row r="54" spans="1:16" ht="30" customHeight="1" outlineLevel="1" x14ac:dyDescent="0.25">
      <c r="A54" s="198" t="str">
        <f>"Makel "&amp;'_Tabellen und Listen'!C163</f>
        <v>Makel Unkultiviert</v>
      </c>
      <c r="B54" s="236" t="s">
        <v>375</v>
      </c>
      <c r="C54" s="363" t="str">
        <f>"Erhalte -1W für alle Proben auf "&amp;'_Tabellen und Listen'!B163&amp;"."</f>
        <v>Erhalte -1W für alle Proben auf Wissen.</v>
      </c>
      <c r="D54" s="364"/>
      <c r="E54" s="360"/>
      <c r="F54" s="361"/>
      <c r="G54" s="362"/>
      <c r="H54" s="191"/>
      <c r="I54" s="193" t="b">
        <v>1</v>
      </c>
      <c r="J54" s="187" t="str">
        <f t="shared" si="0"/>
        <v/>
      </c>
      <c r="L54" s="173" t="str">
        <f t="shared" si="12"/>
        <v/>
      </c>
      <c r="M54" s="173" t="str">
        <f t="shared" si="13"/>
        <v/>
      </c>
      <c r="O54" s="194"/>
      <c r="P54" s="194"/>
    </row>
    <row r="55" spans="1:16" ht="60" customHeight="1" outlineLevel="1" x14ac:dyDescent="0.25">
      <c r="A55" s="198" t="s">
        <v>61</v>
      </c>
      <c r="B55" s="211" t="s">
        <v>375</v>
      </c>
      <c r="C55" s="363" t="s">
        <v>643</v>
      </c>
      <c r="D55" s="364"/>
      <c r="E55" s="189"/>
      <c r="F55" s="190"/>
      <c r="G55" s="191"/>
      <c r="H55" s="191"/>
      <c r="I55" s="193" t="b">
        <v>1</v>
      </c>
      <c r="J55" s="187" t="str">
        <f t="shared" si="0"/>
        <v/>
      </c>
      <c r="L55" s="173" t="str">
        <f t="shared" si="12"/>
        <v/>
      </c>
      <c r="M55" s="173" t="str">
        <f t="shared" si="13"/>
        <v/>
      </c>
      <c r="O55" s="194"/>
      <c r="P55" s="194"/>
    </row>
    <row r="56" spans="1:16" ht="30" customHeight="1" outlineLevel="1" x14ac:dyDescent="0.25">
      <c r="A56" s="198" t="s">
        <v>639</v>
      </c>
      <c r="B56" s="211" t="s">
        <v>375</v>
      </c>
      <c r="C56" s="363" t="s">
        <v>644</v>
      </c>
      <c r="D56" s="364"/>
      <c r="E56" s="189"/>
      <c r="F56" s="190"/>
      <c r="G56" s="191"/>
      <c r="H56" s="191"/>
      <c r="I56" s="193" t="b">
        <v>1</v>
      </c>
      <c r="J56" s="187" t="str">
        <f t="shared" si="0"/>
        <v/>
      </c>
      <c r="L56" s="173" t="str">
        <f t="shared" si="1"/>
        <v/>
      </c>
      <c r="M56" s="173" t="str">
        <f t="shared" si="2"/>
        <v/>
      </c>
      <c r="O56" s="194"/>
      <c r="P56" s="194"/>
    </row>
    <row r="57" spans="1:16" ht="30" customHeight="1" outlineLevel="1" x14ac:dyDescent="0.25">
      <c r="A57" s="198" t="s">
        <v>640</v>
      </c>
      <c r="B57" s="211" t="s">
        <v>375</v>
      </c>
      <c r="C57" s="363" t="s">
        <v>645</v>
      </c>
      <c r="D57" s="364"/>
      <c r="E57" s="189"/>
      <c r="F57" s="190"/>
      <c r="G57" s="191"/>
      <c r="H57" s="191"/>
      <c r="I57" s="193" t="b">
        <v>1</v>
      </c>
      <c r="J57" s="187" t="str">
        <f t="shared" si="0"/>
        <v/>
      </c>
      <c r="L57" s="173" t="str">
        <f t="shared" si="1"/>
        <v/>
      </c>
      <c r="M57" s="173" t="str">
        <f t="shared" si="2"/>
        <v/>
      </c>
      <c r="O57" s="194"/>
      <c r="P57" s="194"/>
    </row>
    <row r="58" spans="1:16" ht="30" customHeight="1" outlineLevel="1" x14ac:dyDescent="0.25">
      <c r="A58" s="198" t="s">
        <v>641</v>
      </c>
      <c r="B58" s="211" t="s">
        <v>375</v>
      </c>
      <c r="C58" s="363" t="s">
        <v>646</v>
      </c>
      <c r="D58" s="364"/>
      <c r="E58" s="189"/>
      <c r="F58" s="190"/>
      <c r="G58" s="191"/>
      <c r="H58" s="191"/>
      <c r="I58" s="193" t="b">
        <v>1</v>
      </c>
      <c r="J58" s="187" t="str">
        <f t="shared" si="0"/>
        <v/>
      </c>
      <c r="L58" s="173" t="str">
        <f t="shared" si="1"/>
        <v/>
      </c>
      <c r="M58" s="173" t="str">
        <f t="shared" si="2"/>
        <v/>
      </c>
      <c r="O58" s="194"/>
      <c r="P58" s="194"/>
    </row>
    <row r="59" spans="1:16" ht="45.75" customHeight="1" outlineLevel="1" x14ac:dyDescent="0.25">
      <c r="A59" s="198" t="s">
        <v>642</v>
      </c>
      <c r="B59" s="211" t="s">
        <v>375</v>
      </c>
      <c r="C59" s="363" t="s">
        <v>647</v>
      </c>
      <c r="D59" s="364"/>
      <c r="E59" s="189"/>
      <c r="F59" s="190"/>
      <c r="G59" s="191"/>
      <c r="H59" s="191"/>
      <c r="I59" s="193" t="b">
        <v>1</v>
      </c>
      <c r="J59" s="187" t="str">
        <f t="shared" si="0"/>
        <v/>
      </c>
      <c r="L59" s="173" t="str">
        <f t="shared" si="1"/>
        <v/>
      </c>
      <c r="M59" s="173" t="str">
        <f t="shared" si="2"/>
        <v/>
      </c>
      <c r="O59" s="194"/>
      <c r="P59" s="194"/>
    </row>
    <row r="60" spans="1:16" outlineLevel="1" x14ac:dyDescent="0.25">
      <c r="A60" s="198" t="s">
        <v>648</v>
      </c>
      <c r="B60" s="211" t="s">
        <v>375</v>
      </c>
      <c r="C60" s="363" t="s">
        <v>653</v>
      </c>
      <c r="D60" s="364"/>
      <c r="E60" s="189"/>
      <c r="F60" s="190"/>
      <c r="G60" s="191"/>
      <c r="H60" s="191"/>
      <c r="I60" s="193" t="b">
        <v>1</v>
      </c>
      <c r="J60" s="187" t="str">
        <f t="shared" si="0"/>
        <v/>
      </c>
      <c r="L60" s="173" t="str">
        <f t="shared" si="1"/>
        <v/>
      </c>
      <c r="M60" s="173" t="str">
        <f t="shared" si="2"/>
        <v/>
      </c>
      <c r="O60" s="194"/>
      <c r="P60" s="194"/>
    </row>
    <row r="61" spans="1:16" ht="30" customHeight="1" outlineLevel="1" x14ac:dyDescent="0.25">
      <c r="A61" s="198" t="s">
        <v>649</v>
      </c>
      <c r="B61" s="211" t="s">
        <v>375</v>
      </c>
      <c r="C61" s="363" t="s">
        <v>654</v>
      </c>
      <c r="D61" s="364"/>
      <c r="E61" s="189"/>
      <c r="F61" s="190"/>
      <c r="G61" s="191"/>
      <c r="H61" s="191"/>
      <c r="I61" s="193" t="b">
        <v>1</v>
      </c>
      <c r="J61" s="187" t="str">
        <f t="shared" si="0"/>
        <v/>
      </c>
      <c r="L61" s="173" t="str">
        <f t="shared" si="1"/>
        <v/>
      </c>
      <c r="M61" s="173" t="str">
        <f t="shared" si="2"/>
        <v/>
      </c>
      <c r="O61" s="194"/>
      <c r="P61" s="194"/>
    </row>
    <row r="62" spans="1:16" ht="45.75" customHeight="1" outlineLevel="1" x14ac:dyDescent="0.25">
      <c r="A62" s="198" t="s">
        <v>650</v>
      </c>
      <c r="B62" s="211" t="s">
        <v>375</v>
      </c>
      <c r="C62" s="363" t="s">
        <v>655</v>
      </c>
      <c r="D62" s="364"/>
      <c r="E62" s="189"/>
      <c r="F62" s="190"/>
      <c r="G62" s="191"/>
      <c r="H62" s="191"/>
      <c r="I62" s="193" t="b">
        <v>1</v>
      </c>
      <c r="J62" s="187" t="str">
        <f t="shared" si="0"/>
        <v/>
      </c>
      <c r="L62" s="173" t="str">
        <f t="shared" si="1"/>
        <v/>
      </c>
      <c r="M62" s="173" t="str">
        <f t="shared" si="2"/>
        <v/>
      </c>
      <c r="O62" s="194"/>
      <c r="P62" s="194"/>
    </row>
    <row r="63" spans="1:16" ht="30" customHeight="1" outlineLevel="1" x14ac:dyDescent="0.25">
      <c r="A63" s="198" t="s">
        <v>651</v>
      </c>
      <c r="B63" s="211" t="s">
        <v>375</v>
      </c>
      <c r="C63" s="363" t="s">
        <v>656</v>
      </c>
      <c r="D63" s="364"/>
      <c r="E63" s="189"/>
      <c r="F63" s="190"/>
      <c r="G63" s="191"/>
      <c r="H63" s="191"/>
      <c r="I63" s="193" t="b">
        <v>1</v>
      </c>
      <c r="J63" s="187" t="str">
        <f t="shared" si="0"/>
        <v/>
      </c>
      <c r="L63" s="173" t="str">
        <f t="shared" si="1"/>
        <v/>
      </c>
      <c r="M63" s="173" t="str">
        <f t="shared" si="2"/>
        <v/>
      </c>
      <c r="O63" s="194"/>
      <c r="P63" s="194"/>
    </row>
    <row r="64" spans="1:16" ht="45.75" customHeight="1" outlineLevel="1" x14ac:dyDescent="0.25">
      <c r="A64" s="198" t="s">
        <v>652</v>
      </c>
      <c r="B64" s="211" t="s">
        <v>375</v>
      </c>
      <c r="C64" s="363" t="s">
        <v>647</v>
      </c>
      <c r="D64" s="364"/>
      <c r="E64" s="189"/>
      <c r="F64" s="190"/>
      <c r="G64" s="191"/>
      <c r="H64" s="191"/>
      <c r="I64" s="193" t="b">
        <v>1</v>
      </c>
      <c r="J64" s="187" t="str">
        <f t="shared" si="0"/>
        <v/>
      </c>
      <c r="L64" s="173" t="str">
        <f t="shared" si="1"/>
        <v/>
      </c>
      <c r="M64" s="173" t="str">
        <f t="shared" si="2"/>
        <v/>
      </c>
      <c r="O64" s="194"/>
      <c r="P64" s="194"/>
    </row>
    <row r="65" spans="1:16" ht="30" customHeight="1" outlineLevel="1" x14ac:dyDescent="0.25">
      <c r="A65" s="198" t="s">
        <v>657</v>
      </c>
      <c r="B65" s="211" t="s">
        <v>375</v>
      </c>
      <c r="C65" s="363" t="s">
        <v>665</v>
      </c>
      <c r="D65" s="364"/>
      <c r="E65" s="189"/>
      <c r="F65" s="190"/>
      <c r="G65" s="191"/>
      <c r="H65" s="191"/>
      <c r="I65" s="193" t="b">
        <v>1</v>
      </c>
      <c r="J65" s="187" t="str">
        <f t="shared" si="0"/>
        <v/>
      </c>
      <c r="L65" s="173" t="str">
        <f t="shared" si="1"/>
        <v/>
      </c>
      <c r="M65" s="173" t="str">
        <f t="shared" si="2"/>
        <v/>
      </c>
      <c r="O65" s="194"/>
      <c r="P65" s="194"/>
    </row>
    <row r="66" spans="1:16" ht="30" customHeight="1" outlineLevel="1" x14ac:dyDescent="0.25">
      <c r="A66" s="198" t="s">
        <v>658</v>
      </c>
      <c r="B66" s="211" t="s">
        <v>375</v>
      </c>
      <c r="C66" s="363" t="s">
        <v>666</v>
      </c>
      <c r="D66" s="364"/>
      <c r="E66" s="189"/>
      <c r="F66" s="190"/>
      <c r="G66" s="191"/>
      <c r="H66" s="191"/>
      <c r="I66" s="193" t="b">
        <v>1</v>
      </c>
      <c r="J66" s="187" t="str">
        <f t="shared" si="0"/>
        <v/>
      </c>
      <c r="L66" s="173" t="str">
        <f t="shared" si="1"/>
        <v/>
      </c>
      <c r="M66" s="173" t="str">
        <f t="shared" si="2"/>
        <v/>
      </c>
      <c r="O66" s="194"/>
      <c r="P66" s="194"/>
    </row>
    <row r="67" spans="1:16" ht="30" customHeight="1" outlineLevel="1" x14ac:dyDescent="0.25">
      <c r="A67" s="198" t="s">
        <v>659</v>
      </c>
      <c r="B67" s="211" t="s">
        <v>375</v>
      </c>
      <c r="C67" s="363" t="s">
        <v>667</v>
      </c>
      <c r="D67" s="364"/>
      <c r="E67" s="189"/>
      <c r="F67" s="190"/>
      <c r="G67" s="191"/>
      <c r="H67" s="191"/>
      <c r="I67" s="193" t="b">
        <v>1</v>
      </c>
      <c r="J67" s="187" t="str">
        <f t="shared" si="0"/>
        <v/>
      </c>
      <c r="L67" s="173" t="str">
        <f t="shared" si="1"/>
        <v/>
      </c>
      <c r="M67" s="173" t="str">
        <f t="shared" si="2"/>
        <v/>
      </c>
      <c r="O67" s="194"/>
      <c r="P67" s="194"/>
    </row>
    <row r="68" spans="1:16" ht="30" customHeight="1" outlineLevel="1" x14ac:dyDescent="0.25">
      <c r="A68" s="198" t="s">
        <v>660</v>
      </c>
      <c r="B68" s="211" t="s">
        <v>375</v>
      </c>
      <c r="C68" s="363" t="s">
        <v>705</v>
      </c>
      <c r="D68" s="364"/>
      <c r="E68" s="189"/>
      <c r="F68" s="190"/>
      <c r="G68" s="191"/>
      <c r="H68" s="191"/>
      <c r="I68" s="193" t="b">
        <v>1</v>
      </c>
      <c r="J68" s="187" t="str">
        <f t="shared" si="0"/>
        <v/>
      </c>
      <c r="L68" s="173" t="str">
        <f t="shared" si="1"/>
        <v/>
      </c>
      <c r="M68" s="173" t="str">
        <f t="shared" si="2"/>
        <v/>
      </c>
      <c r="O68" s="194"/>
      <c r="P68" s="194"/>
    </row>
    <row r="69" spans="1:16" outlineLevel="1" x14ac:dyDescent="0.25">
      <c r="A69" s="198" t="s">
        <v>661</v>
      </c>
      <c r="B69" s="211" t="s">
        <v>375</v>
      </c>
      <c r="C69" s="363" t="s">
        <v>668</v>
      </c>
      <c r="D69" s="364"/>
      <c r="E69" s="189"/>
      <c r="F69" s="190"/>
      <c r="G69" s="191"/>
      <c r="H69" s="191"/>
      <c r="I69" s="193" t="b">
        <v>1</v>
      </c>
      <c r="J69" s="187" t="str">
        <f t="shared" si="0"/>
        <v/>
      </c>
      <c r="L69" s="173" t="str">
        <f t="shared" si="1"/>
        <v/>
      </c>
      <c r="M69" s="173" t="str">
        <f t="shared" si="2"/>
        <v/>
      </c>
      <c r="O69" s="194"/>
      <c r="P69" s="194"/>
    </row>
    <row r="70" spans="1:16" ht="30" customHeight="1" outlineLevel="1" x14ac:dyDescent="0.25">
      <c r="A70" s="257" t="s">
        <v>922</v>
      </c>
      <c r="B70" s="224" t="s">
        <v>375</v>
      </c>
      <c r="C70" s="363" t="s">
        <v>923</v>
      </c>
      <c r="D70" s="364"/>
      <c r="E70" s="189"/>
      <c r="F70" s="190"/>
      <c r="G70" s="191"/>
      <c r="H70" s="191"/>
      <c r="I70" s="193" t="b">
        <v>1</v>
      </c>
      <c r="J70" s="187" t="str">
        <f t="shared" si="0"/>
        <v/>
      </c>
      <c r="L70" s="173" t="str">
        <f t="shared" si="1"/>
        <v/>
      </c>
      <c r="M70" s="173" t="str">
        <f t="shared" si="2"/>
        <v/>
      </c>
      <c r="P70" s="194"/>
    </row>
    <row r="71" spans="1:16" ht="30" customHeight="1" outlineLevel="1" x14ac:dyDescent="0.25">
      <c r="A71" s="257" t="s">
        <v>924</v>
      </c>
      <c r="B71" s="224" t="s">
        <v>375</v>
      </c>
      <c r="C71" s="363" t="s">
        <v>925</v>
      </c>
      <c r="D71" s="364"/>
      <c r="E71" s="189"/>
      <c r="F71" s="190"/>
      <c r="G71" s="191"/>
      <c r="H71" s="191"/>
      <c r="I71" s="193" t="b">
        <v>1</v>
      </c>
      <c r="J71" s="187" t="str">
        <f t="shared" si="0"/>
        <v/>
      </c>
      <c r="L71" s="173" t="str">
        <f t="shared" ref="L71" si="14">IF(J71="",L70,L70&amp;", "&amp;A71)</f>
        <v/>
      </c>
      <c r="M71" s="173" t="str">
        <f t="shared" ref="M71" si="15">IF(J71="",M70,M70&amp;", "&amp;J71)</f>
        <v/>
      </c>
      <c r="P71" s="194"/>
    </row>
    <row r="72" spans="1:16" ht="75" customHeight="1" outlineLevel="1" x14ac:dyDescent="0.25">
      <c r="A72" s="198" t="s">
        <v>662</v>
      </c>
      <c r="B72" s="211" t="s">
        <v>375</v>
      </c>
      <c r="C72" s="363" t="s">
        <v>669</v>
      </c>
      <c r="D72" s="364"/>
      <c r="E72" s="189"/>
      <c r="F72" s="190"/>
      <c r="G72" s="191"/>
      <c r="H72" s="191"/>
      <c r="I72" s="193" t="b">
        <v>1</v>
      </c>
      <c r="J72" s="187" t="str">
        <f t="shared" si="0"/>
        <v/>
      </c>
      <c r="L72" s="173" t="str">
        <f>IF(J72="",L69,L69&amp;", "&amp;A72)</f>
        <v/>
      </c>
      <c r="M72" s="173" t="str">
        <f>IF(J72="",M69,M69&amp;", "&amp;J72)</f>
        <v/>
      </c>
      <c r="O72" s="194"/>
      <c r="P72" s="194"/>
    </row>
    <row r="73" spans="1:16" ht="75" customHeight="1" outlineLevel="1" x14ac:dyDescent="0.25">
      <c r="A73" s="198" t="s">
        <v>663</v>
      </c>
      <c r="B73" s="211" t="s">
        <v>375</v>
      </c>
      <c r="C73" s="363" t="s">
        <v>670</v>
      </c>
      <c r="D73" s="364"/>
      <c r="E73" s="189"/>
      <c r="F73" s="190"/>
      <c r="G73" s="191"/>
      <c r="H73" s="191"/>
      <c r="I73" s="193" t="b">
        <v>1</v>
      </c>
      <c r="J73" s="187" t="str">
        <f t="shared" si="0"/>
        <v/>
      </c>
      <c r="L73" s="173" t="str">
        <f t="shared" si="1"/>
        <v/>
      </c>
      <c r="M73" s="173" t="str">
        <f t="shared" si="2"/>
        <v/>
      </c>
      <c r="O73" s="194"/>
      <c r="P73" s="194"/>
    </row>
    <row r="74" spans="1:16" ht="60" customHeight="1" outlineLevel="1" x14ac:dyDescent="0.25">
      <c r="A74" s="198" t="s">
        <v>664</v>
      </c>
      <c r="B74" s="211" t="s">
        <v>375</v>
      </c>
      <c r="C74" s="363" t="s">
        <v>671</v>
      </c>
      <c r="D74" s="364"/>
      <c r="E74" s="189"/>
      <c r="F74" s="190"/>
      <c r="G74" s="191"/>
      <c r="H74" s="191"/>
      <c r="I74" s="193" t="b">
        <v>1</v>
      </c>
      <c r="J74" s="187" t="str">
        <f t="shared" si="0"/>
        <v/>
      </c>
      <c r="L74" s="173" t="str">
        <f t="shared" si="1"/>
        <v/>
      </c>
      <c r="M74" s="173" t="str">
        <f t="shared" si="2"/>
        <v/>
      </c>
      <c r="O74" s="194"/>
      <c r="P74" s="194"/>
    </row>
    <row r="75" spans="1:16" s="202" customFormat="1" ht="15.75" thickBot="1" x14ac:dyDescent="0.3">
      <c r="A75" s="199"/>
      <c r="B75" s="200"/>
      <c r="C75" s="200"/>
      <c r="D75" s="200"/>
      <c r="E75" s="200"/>
      <c r="F75" s="200"/>
      <c r="G75" s="200"/>
      <c r="H75" s="200"/>
      <c r="I75" s="201"/>
    </row>
    <row r="76" spans="1:16" s="202" customFormat="1" x14ac:dyDescent="0.25"/>
    <row r="77" spans="1:16" s="202" customFormat="1" x14ac:dyDescent="0.25">
      <c r="A77" s="203" t="s">
        <v>372</v>
      </c>
      <c r="B77" s="385" t="str">
        <f>IF(D6="","","Achtung! Es sind noch Fehler auf dieser Seite!")</f>
        <v/>
      </c>
      <c r="C77" s="385"/>
      <c r="D77" s="385"/>
      <c r="E77" s="385"/>
    </row>
    <row r="80" spans="1:16" hidden="1" x14ac:dyDescent="0.25">
      <c r="A80" s="179" t="s">
        <v>373</v>
      </c>
    </row>
    <row r="81" spans="1:2" hidden="1" outlineLevel="1" x14ac:dyDescent="0.25">
      <c r="B81" s="204" t="s">
        <v>374</v>
      </c>
    </row>
    <row r="82" spans="1:2" hidden="1" outlineLevel="1" x14ac:dyDescent="0.25">
      <c r="A82" s="205" t="str">
        <f>'_Tabellen und Listen'!B145</f>
        <v>Athletik</v>
      </c>
      <c r="B82" s="206">
        <f>VLOOKUP(A82,'2. Fähigkeiten'!$A$16:$F$121,6,FALSE)</f>
        <v>2</v>
      </c>
    </row>
    <row r="83" spans="1:2" hidden="1" outlineLevel="1" x14ac:dyDescent="0.25">
      <c r="A83" s="205" t="str">
        <f>'_Tabellen und Listen'!B146</f>
        <v>Ausdauer</v>
      </c>
      <c r="B83" s="206">
        <f>VLOOKUP(A83,'2. Fähigkeiten'!$A$16:$F$121,6,FALSE)</f>
        <v>2</v>
      </c>
    </row>
    <row r="84" spans="1:2" hidden="1" outlineLevel="1" x14ac:dyDescent="0.25">
      <c r="A84" s="205" t="str">
        <f>'_Tabellen und Listen'!B147</f>
        <v>Diebeskunst</v>
      </c>
      <c r="B84" s="206">
        <f>VLOOKUP(A84,'2. Fähigkeiten'!$A$16:$F$121,6,FALSE)</f>
        <v>2</v>
      </c>
    </row>
    <row r="85" spans="1:2" hidden="1" outlineLevel="1" x14ac:dyDescent="0.25">
      <c r="A85" s="205" t="str">
        <f>'_Tabellen und Listen'!B148</f>
        <v>Gewandtheit</v>
      </c>
      <c r="B85" s="206">
        <f>VLOOKUP(A85,'2. Fähigkeiten'!$A$16:$F$121,6,FALSE)</f>
        <v>2</v>
      </c>
    </row>
    <row r="86" spans="1:2" hidden="1" outlineLevel="1" x14ac:dyDescent="0.25">
      <c r="A86" s="205" t="str">
        <f>'_Tabellen und Listen'!B149</f>
        <v>Heilkunst</v>
      </c>
      <c r="B86" s="206">
        <f>VLOOKUP(A86,'2. Fähigkeiten'!$A$16:$F$121,6,FALSE)</f>
        <v>2</v>
      </c>
    </row>
    <row r="87" spans="1:2" hidden="1" outlineLevel="1" x14ac:dyDescent="0.25">
      <c r="A87" s="205" t="str">
        <f>'_Tabellen und Listen'!B150</f>
        <v>Kampf</v>
      </c>
      <c r="B87" s="206">
        <f>VLOOKUP(A87,'2. Fähigkeiten'!$A$16:$F$121,6,FALSE)</f>
        <v>2</v>
      </c>
    </row>
    <row r="88" spans="1:2" hidden="1" outlineLevel="1" x14ac:dyDescent="0.25">
      <c r="A88" s="205" t="str">
        <f>'_Tabellen und Listen'!B151</f>
        <v>Kriegsführung</v>
      </c>
      <c r="B88" s="206">
        <f>VLOOKUP(A88,'2. Fähigkeiten'!$A$16:$F$121,6,FALSE)</f>
        <v>2</v>
      </c>
    </row>
    <row r="89" spans="1:2" hidden="1" outlineLevel="1" x14ac:dyDescent="0.25">
      <c r="A89" s="205" t="str">
        <f>'_Tabellen und Listen'!B152</f>
        <v>Scharfsinn</v>
      </c>
      <c r="B89" s="206">
        <f>VLOOKUP(A89,'2. Fähigkeiten'!$A$16:$F$121,6,FALSE)</f>
        <v>2</v>
      </c>
    </row>
    <row r="90" spans="1:2" hidden="1" outlineLevel="1" x14ac:dyDescent="0.25">
      <c r="A90" s="205" t="str">
        <f>'_Tabellen und Listen'!B153</f>
        <v>Schiesskunst</v>
      </c>
      <c r="B90" s="206">
        <f>VLOOKUP(A90,'2. Fähigkeiten'!$A$16:$F$121,6,FALSE)</f>
        <v>2</v>
      </c>
    </row>
    <row r="91" spans="1:2" hidden="1" outlineLevel="1" x14ac:dyDescent="0.25">
      <c r="A91" s="205" t="str">
        <f>'_Tabellen und Listen'!B154</f>
        <v>Sprache</v>
      </c>
      <c r="B91" s="206">
        <f>VLOOKUP(A91,'2. Fähigkeiten'!$A$16:$F$121,6,FALSE)</f>
        <v>2</v>
      </c>
    </row>
    <row r="92" spans="1:2" hidden="1" outlineLevel="1" x14ac:dyDescent="0.25">
      <c r="A92" s="205" t="str">
        <f>'_Tabellen und Listen'!B155</f>
        <v>Status</v>
      </c>
      <c r="B92" s="206">
        <f>VLOOKUP(A92,'2. Fähigkeiten'!$A$16:$F$121,6,FALSE)</f>
        <v>2</v>
      </c>
    </row>
    <row r="93" spans="1:2" hidden="1" outlineLevel="1" x14ac:dyDescent="0.25">
      <c r="A93" s="205" t="str">
        <f>'_Tabellen und Listen'!B156</f>
        <v>Täuschung</v>
      </c>
      <c r="B93" s="206">
        <f>VLOOKUP(A93,'2. Fähigkeiten'!$A$16:$F$121,6,FALSE)</f>
        <v>2</v>
      </c>
    </row>
    <row r="94" spans="1:2" hidden="1" outlineLevel="1" x14ac:dyDescent="0.25">
      <c r="A94" s="205" t="str">
        <f>'_Tabellen und Listen'!B157</f>
        <v>Überleben</v>
      </c>
      <c r="B94" s="206">
        <f>VLOOKUP(A94,'2. Fähigkeiten'!$A$16:$F$121,6,FALSE)</f>
        <v>2</v>
      </c>
    </row>
    <row r="95" spans="1:2" hidden="1" outlineLevel="1" x14ac:dyDescent="0.25">
      <c r="A95" s="205" t="str">
        <f>'_Tabellen und Listen'!B158</f>
        <v>Überredung</v>
      </c>
      <c r="B95" s="206">
        <f>VLOOKUP(A95,'2. Fähigkeiten'!$A$16:$F$121,6,FALSE)</f>
        <v>2</v>
      </c>
    </row>
    <row r="96" spans="1:2" hidden="1" outlineLevel="1" x14ac:dyDescent="0.25">
      <c r="A96" s="205" t="str">
        <f>'_Tabellen und Listen'!B159</f>
        <v>Umgang mit Tieren</v>
      </c>
      <c r="B96" s="206">
        <f>VLOOKUP(A96,'2. Fähigkeiten'!$A$16:$F$121,6,FALSE)</f>
        <v>2</v>
      </c>
    </row>
    <row r="97" spans="1:2" hidden="1" outlineLevel="1" x14ac:dyDescent="0.25">
      <c r="A97" s="205" t="str">
        <f>'_Tabellen und Listen'!B160</f>
        <v>Verstohlenheit</v>
      </c>
      <c r="B97" s="206">
        <f>VLOOKUP(A97,'2. Fähigkeiten'!$A$16:$F$121,6,FALSE)</f>
        <v>2</v>
      </c>
    </row>
    <row r="98" spans="1:2" hidden="1" outlineLevel="1" x14ac:dyDescent="0.25">
      <c r="A98" s="205" t="str">
        <f>'_Tabellen und Listen'!B161</f>
        <v>Wahrnehmung</v>
      </c>
      <c r="B98" s="206">
        <f>VLOOKUP(A98,'2. Fähigkeiten'!$A$16:$F$121,6,FALSE)</f>
        <v>2</v>
      </c>
    </row>
    <row r="99" spans="1:2" hidden="1" outlineLevel="1" x14ac:dyDescent="0.25">
      <c r="A99" s="205" t="str">
        <f>'_Tabellen und Listen'!B162</f>
        <v>Wille</v>
      </c>
      <c r="B99" s="206">
        <f>VLOOKUP(A99,'2. Fähigkeiten'!$A$16:$F$121,6,FALSE)</f>
        <v>2</v>
      </c>
    </row>
    <row r="100" spans="1:2" hidden="1" outlineLevel="1" x14ac:dyDescent="0.25">
      <c r="A100" s="205" t="str">
        <f>'_Tabellen und Listen'!B163</f>
        <v>Wissen</v>
      </c>
      <c r="B100" s="206">
        <f>VLOOKUP(A100,'2. Fähigkeiten'!$A$16:$F$121,6,FALSE)</f>
        <v>2</v>
      </c>
    </row>
    <row r="101" spans="1:2" hidden="1" collapsed="1" x14ac:dyDescent="0.25"/>
    <row r="102" spans="1:2" hidden="1" x14ac:dyDescent="0.25">
      <c r="A102" s="179" t="s">
        <v>565</v>
      </c>
    </row>
    <row r="103" spans="1:2" hidden="1" outlineLevel="1" x14ac:dyDescent="0.25">
      <c r="B103" s="204" t="s">
        <v>374</v>
      </c>
    </row>
    <row r="104" spans="1:2" hidden="1" outlineLevel="1" x14ac:dyDescent="0.25">
      <c r="A104" s="207"/>
      <c r="B104" s="206"/>
    </row>
    <row r="105" spans="1:2" hidden="1" outlineLevel="1" x14ac:dyDescent="0.25">
      <c r="A105" s="207" t="s">
        <v>181</v>
      </c>
      <c r="B105" s="208">
        <f>VLOOKUP(A105,'2. Fähigkeiten'!B$16:F$121,5,FALSE)</f>
        <v>0</v>
      </c>
    </row>
    <row r="106" spans="1:2" hidden="1" outlineLevel="1" x14ac:dyDescent="0.25">
      <c r="A106" s="207" t="s">
        <v>182</v>
      </c>
      <c r="B106" s="208">
        <f>VLOOKUP(A106,'2. Fähigkeiten'!B$16:F$121,5,FALSE)</f>
        <v>0</v>
      </c>
    </row>
    <row r="107" spans="1:2" hidden="1" outlineLevel="1" x14ac:dyDescent="0.25">
      <c r="A107" s="207" t="s">
        <v>183</v>
      </c>
      <c r="B107" s="208">
        <f>VLOOKUP(A107,'2. Fähigkeiten'!B$16:F$121,5,FALSE)</f>
        <v>0</v>
      </c>
    </row>
    <row r="108" spans="1:2" hidden="1" outlineLevel="1" x14ac:dyDescent="0.25">
      <c r="A108" s="207" t="s">
        <v>184</v>
      </c>
      <c r="B108" s="208">
        <f>VLOOKUP(A108,'2. Fähigkeiten'!B$16:F$121,5,FALSE)</f>
        <v>0</v>
      </c>
    </row>
    <row r="109" spans="1:2" hidden="1" outlineLevel="1" x14ac:dyDescent="0.25">
      <c r="A109" s="207" t="s">
        <v>185</v>
      </c>
      <c r="B109" s="208">
        <f>VLOOKUP(A109,'2. Fähigkeiten'!B$16:F$121,5,FALSE)</f>
        <v>0</v>
      </c>
    </row>
    <row r="110" spans="1:2" hidden="1" outlineLevel="1" x14ac:dyDescent="0.25">
      <c r="A110" s="207" t="s">
        <v>186</v>
      </c>
      <c r="B110" s="208">
        <f>VLOOKUP(A110,'2. Fähigkeiten'!B$16:F$121,5,FALSE)</f>
        <v>0</v>
      </c>
    </row>
    <row r="111" spans="1:2" hidden="1" outlineLevel="1" x14ac:dyDescent="0.25">
      <c r="A111" s="209" t="str">
        <f>IF(ISERROR(FIND(#REF!,'1. Allgemeines'!$B$25)),"","Kernfähigkeit")</f>
        <v/>
      </c>
      <c r="B111" s="208"/>
    </row>
    <row r="112" spans="1:2" hidden="1" outlineLevel="1" x14ac:dyDescent="0.25">
      <c r="A112" s="207" t="s">
        <v>187</v>
      </c>
      <c r="B112" s="208">
        <f>VLOOKUP(A112,'2. Fähigkeiten'!B$16:F$121,5,FALSE)</f>
        <v>0</v>
      </c>
    </row>
    <row r="113" spans="1:2" hidden="1" outlineLevel="1" x14ac:dyDescent="0.25">
      <c r="A113" s="207" t="s">
        <v>528</v>
      </c>
      <c r="B113" s="208">
        <f>VLOOKUP(A113,'2. Fähigkeiten'!B$16:F$121,5,FALSE)</f>
        <v>0</v>
      </c>
    </row>
    <row r="114" spans="1:2" hidden="1" outlineLevel="1" x14ac:dyDescent="0.25">
      <c r="A114" s="209" t="str">
        <f>IF(ISERROR(FIND(#REF!,'1. Allgemeines'!$B$25)),"","Kernfähigkeit")</f>
        <v/>
      </c>
      <c r="B114" s="208"/>
    </row>
    <row r="115" spans="1:2" hidden="1" outlineLevel="1" x14ac:dyDescent="0.25">
      <c r="A115" s="207" t="s">
        <v>188</v>
      </c>
      <c r="B115" s="208">
        <f>VLOOKUP(A115,'2. Fähigkeiten'!B$16:F$121,5,FALSE)</f>
        <v>0</v>
      </c>
    </row>
    <row r="116" spans="1:2" hidden="1" outlineLevel="1" x14ac:dyDescent="0.25">
      <c r="A116" s="207" t="s">
        <v>189</v>
      </c>
      <c r="B116" s="208">
        <f>VLOOKUP(A116,'2. Fähigkeiten'!B$16:F$121,5,FALSE)</f>
        <v>0</v>
      </c>
    </row>
    <row r="117" spans="1:2" hidden="1" outlineLevel="1" x14ac:dyDescent="0.25">
      <c r="A117" s="207" t="s">
        <v>190</v>
      </c>
      <c r="B117" s="208">
        <f>VLOOKUP(A117,'2. Fähigkeiten'!B$16:F$121,5,FALSE)</f>
        <v>0</v>
      </c>
    </row>
    <row r="118" spans="1:2" hidden="1" outlineLevel="1" x14ac:dyDescent="0.25">
      <c r="A118" s="209" t="str">
        <f>IF(ISERROR(FIND(#REF!,'1. Allgemeines'!$B$25)),"","Kernfähigkeit")</f>
        <v/>
      </c>
      <c r="B118" s="208"/>
    </row>
    <row r="119" spans="1:2" hidden="1" outlineLevel="1" x14ac:dyDescent="0.25">
      <c r="A119" s="207" t="s">
        <v>191</v>
      </c>
      <c r="B119" s="208">
        <f>VLOOKUP(A119,'2. Fähigkeiten'!B$16:F$121,5,FALSE)</f>
        <v>0</v>
      </c>
    </row>
    <row r="120" spans="1:2" hidden="1" outlineLevel="1" x14ac:dyDescent="0.25">
      <c r="A120" s="207" t="s">
        <v>192</v>
      </c>
      <c r="B120" s="208">
        <f>VLOOKUP(A120,'2. Fähigkeiten'!B$16:F$121,5,FALSE)</f>
        <v>0</v>
      </c>
    </row>
    <row r="121" spans="1:2" hidden="1" outlineLevel="1" x14ac:dyDescent="0.25">
      <c r="A121" s="207" t="s">
        <v>193</v>
      </c>
      <c r="B121" s="208">
        <f>VLOOKUP(A121,'2. Fähigkeiten'!B$16:F$121,5,FALSE)</f>
        <v>0</v>
      </c>
    </row>
    <row r="122" spans="1:2" hidden="1" outlineLevel="1" x14ac:dyDescent="0.25">
      <c r="A122" s="207" t="s">
        <v>194</v>
      </c>
      <c r="B122" s="208">
        <f>VLOOKUP(A122,'2. Fähigkeiten'!B$16:F$121,5,FALSE)</f>
        <v>0</v>
      </c>
    </row>
    <row r="123" spans="1:2" hidden="1" outlineLevel="1" x14ac:dyDescent="0.25">
      <c r="A123" s="207" t="s">
        <v>195</v>
      </c>
      <c r="B123" s="208">
        <f>VLOOKUP(A123,'2. Fähigkeiten'!B$16:F$121,5,FALSE)</f>
        <v>0</v>
      </c>
    </row>
    <row r="124" spans="1:2" hidden="1" outlineLevel="1" x14ac:dyDescent="0.25">
      <c r="A124" s="209" t="str">
        <f>IF(ISERROR(FIND(#REF!,'1. Allgemeines'!$B$25)),"","Kernfähigkeit")</f>
        <v/>
      </c>
      <c r="B124" s="208"/>
    </row>
    <row r="125" spans="1:2" hidden="1" outlineLevel="1" x14ac:dyDescent="0.25">
      <c r="A125" s="207" t="s">
        <v>196</v>
      </c>
      <c r="B125" s="208">
        <f>VLOOKUP(A125,'2. Fähigkeiten'!B$16:F$121,5,FALSE)</f>
        <v>0</v>
      </c>
    </row>
    <row r="126" spans="1:2" hidden="1" outlineLevel="1" x14ac:dyDescent="0.25">
      <c r="A126" s="207" t="s">
        <v>197</v>
      </c>
      <c r="B126" s="208">
        <f>VLOOKUP(A126,'2. Fähigkeiten'!B$16:F$121,5,FALSE)</f>
        <v>0</v>
      </c>
    </row>
    <row r="127" spans="1:2" hidden="1" outlineLevel="1" x14ac:dyDescent="0.25">
      <c r="A127" s="207" t="s">
        <v>198</v>
      </c>
      <c r="B127" s="208">
        <f>VLOOKUP(A127,'2. Fähigkeiten'!B$16:F$121,5,FALSE)</f>
        <v>0</v>
      </c>
    </row>
    <row r="128" spans="1:2" hidden="1" outlineLevel="1" x14ac:dyDescent="0.25">
      <c r="A128" s="209" t="str">
        <f>IF(ISERROR(FIND(#REF!,'1. Allgemeines'!$B$25)),"","Kernfähigkeit")</f>
        <v/>
      </c>
      <c r="B128" s="208"/>
    </row>
    <row r="129" spans="1:2" hidden="1" outlineLevel="1" x14ac:dyDescent="0.25">
      <c r="A129" s="207" t="s">
        <v>199</v>
      </c>
      <c r="B129" s="208">
        <f>VLOOKUP(A129,'2. Fähigkeiten'!B$16:F$121,5,FALSE)</f>
        <v>0</v>
      </c>
    </row>
    <row r="130" spans="1:2" hidden="1" outlineLevel="1" x14ac:dyDescent="0.25">
      <c r="A130" s="207" t="s">
        <v>200</v>
      </c>
      <c r="B130" s="208">
        <f>VLOOKUP(A130,'2. Fähigkeiten'!B$16:F$121,5,FALSE)</f>
        <v>0</v>
      </c>
    </row>
    <row r="131" spans="1:2" hidden="1" outlineLevel="1" x14ac:dyDescent="0.25">
      <c r="A131" s="207" t="s">
        <v>201</v>
      </c>
      <c r="B131" s="208">
        <f>VLOOKUP(A131,'2. Fähigkeiten'!B$16:F$121,5,FALSE)</f>
        <v>0</v>
      </c>
    </row>
    <row r="132" spans="1:2" hidden="1" outlineLevel="1" x14ac:dyDescent="0.25">
      <c r="A132" s="207" t="s">
        <v>202</v>
      </c>
      <c r="B132" s="208">
        <f>VLOOKUP(A132,'2. Fähigkeiten'!B$16:F$121,5,FALSE)</f>
        <v>0</v>
      </c>
    </row>
    <row r="133" spans="1:2" hidden="1" outlineLevel="1" x14ac:dyDescent="0.25">
      <c r="A133" s="207" t="s">
        <v>203</v>
      </c>
      <c r="B133" s="208">
        <f>VLOOKUP(A133,'2. Fähigkeiten'!B$16:F$121,5,FALSE)</f>
        <v>0</v>
      </c>
    </row>
    <row r="134" spans="1:2" hidden="1" outlineLevel="1" x14ac:dyDescent="0.25">
      <c r="A134" s="207" t="s">
        <v>204</v>
      </c>
      <c r="B134" s="208">
        <f>VLOOKUP(A134,'2. Fähigkeiten'!B$16:F$121,5,FALSE)</f>
        <v>0</v>
      </c>
    </row>
    <row r="135" spans="1:2" hidden="1" outlineLevel="1" x14ac:dyDescent="0.25">
      <c r="A135" s="207" t="s">
        <v>205</v>
      </c>
      <c r="B135" s="208">
        <f>VLOOKUP(A135,'2. Fähigkeiten'!B$16:F$121,5,FALSE)</f>
        <v>0</v>
      </c>
    </row>
    <row r="136" spans="1:2" hidden="1" outlineLevel="1" x14ac:dyDescent="0.25">
      <c r="A136" s="207" t="s">
        <v>206</v>
      </c>
      <c r="B136" s="208">
        <f>VLOOKUP(A136,'2. Fähigkeiten'!B$16:F$121,5,FALSE)</f>
        <v>0</v>
      </c>
    </row>
    <row r="137" spans="1:2" hidden="1" outlineLevel="1" x14ac:dyDescent="0.25">
      <c r="A137" s="207" t="s">
        <v>502</v>
      </c>
      <c r="B137" s="208">
        <f>VLOOKUP(A137,'2. Fähigkeiten'!B$16:F$121,5,FALSE)</f>
        <v>0</v>
      </c>
    </row>
    <row r="138" spans="1:2" hidden="1" outlineLevel="1" x14ac:dyDescent="0.25">
      <c r="A138" s="209"/>
      <c r="B138" s="208"/>
    </row>
    <row r="139" spans="1:2" hidden="1" outlineLevel="1" x14ac:dyDescent="0.25">
      <c r="A139" s="207" t="s">
        <v>207</v>
      </c>
      <c r="B139" s="208">
        <f>VLOOKUP(A139,'2. Fähigkeiten'!B$16:F$121,5,FALSE)</f>
        <v>0</v>
      </c>
    </row>
    <row r="140" spans="1:2" hidden="1" outlineLevel="1" x14ac:dyDescent="0.25">
      <c r="A140" s="207" t="s">
        <v>208</v>
      </c>
      <c r="B140" s="208">
        <f>VLOOKUP(A140,'2. Fähigkeiten'!B$16:F$121,5,FALSE)</f>
        <v>0</v>
      </c>
    </row>
    <row r="141" spans="1:2" hidden="1" outlineLevel="1" x14ac:dyDescent="0.25">
      <c r="A141" s="207" t="s">
        <v>209</v>
      </c>
      <c r="B141" s="208">
        <f>VLOOKUP(A141,'2. Fähigkeiten'!B$16:F$121,5,FALSE)</f>
        <v>0</v>
      </c>
    </row>
    <row r="142" spans="1:2" hidden="1" outlineLevel="1" x14ac:dyDescent="0.25">
      <c r="A142" s="209" t="str">
        <f>IF(ISERROR(FIND(#REF!,'1. Allgemeines'!$B$25)),"","Kernfähigkeit")</f>
        <v/>
      </c>
      <c r="B142" s="208"/>
    </row>
    <row r="143" spans="1:2" hidden="1" outlineLevel="1" x14ac:dyDescent="0.25">
      <c r="A143" s="207" t="s">
        <v>212</v>
      </c>
      <c r="B143" s="208">
        <f>VLOOKUP(A143,'2. Fähigkeiten'!B$16:F$121,5,FALSE)</f>
        <v>0</v>
      </c>
    </row>
    <row r="144" spans="1:2" hidden="1" outlineLevel="1" x14ac:dyDescent="0.25">
      <c r="A144" s="207" t="s">
        <v>210</v>
      </c>
      <c r="B144" s="208">
        <f>VLOOKUP(A144,'2. Fähigkeiten'!B$16:F$121,5,FALSE)</f>
        <v>0</v>
      </c>
    </row>
    <row r="145" spans="1:2" hidden="1" outlineLevel="1" x14ac:dyDescent="0.25">
      <c r="A145" s="207" t="s">
        <v>211</v>
      </c>
      <c r="B145" s="208">
        <f>VLOOKUP(A145,'2. Fähigkeiten'!B$16:F$121,5,FALSE)</f>
        <v>0</v>
      </c>
    </row>
    <row r="146" spans="1:2" hidden="1" outlineLevel="1" x14ac:dyDescent="0.25">
      <c r="A146" s="209" t="str">
        <f>IF(ISERROR(FIND(#REF!,'1. Allgemeines'!$B$25)),"","Kernfähigkeit")</f>
        <v/>
      </c>
      <c r="B146" s="208"/>
    </row>
    <row r="147" spans="1:2" hidden="1" outlineLevel="1" x14ac:dyDescent="0.25">
      <c r="A147" s="207" t="s">
        <v>213</v>
      </c>
      <c r="B147" s="208">
        <f>VLOOKUP(A147,'2. Fähigkeiten'!B$16:F$121,5,FALSE)</f>
        <v>0</v>
      </c>
    </row>
    <row r="148" spans="1:2" hidden="1" outlineLevel="1" x14ac:dyDescent="0.25">
      <c r="A148" s="207" t="s">
        <v>214</v>
      </c>
      <c r="B148" s="208">
        <f>VLOOKUP(A148,'2. Fähigkeiten'!B$16:F$121,5,FALSE)</f>
        <v>0</v>
      </c>
    </row>
    <row r="149" spans="1:2" hidden="1" outlineLevel="1" x14ac:dyDescent="0.25">
      <c r="A149" s="207" t="s">
        <v>215</v>
      </c>
      <c r="B149" s="208">
        <f>VLOOKUP(A149,'2. Fähigkeiten'!B$16:F$121,5,FALSE)</f>
        <v>0</v>
      </c>
    </row>
    <row r="150" spans="1:2" hidden="1" outlineLevel="1" x14ac:dyDescent="0.25">
      <c r="A150" s="207" t="s">
        <v>216</v>
      </c>
      <c r="B150" s="208">
        <f>VLOOKUP(A150,'2. Fähigkeiten'!B$16:F$121,5,FALSE)</f>
        <v>0</v>
      </c>
    </row>
    <row r="151" spans="1:2" hidden="1" outlineLevel="1" x14ac:dyDescent="0.25">
      <c r="A151" s="209" t="str">
        <f>IF(ISERROR(FIND(#REF!,'1. Allgemeines'!$B$25)),"","Kernfähigkeit")</f>
        <v/>
      </c>
      <c r="B151" s="208"/>
    </row>
    <row r="152" spans="1:2" hidden="1" outlineLevel="1" x14ac:dyDescent="0.25">
      <c r="A152" s="207" t="s">
        <v>217</v>
      </c>
      <c r="B152" s="208">
        <f>VLOOKUP(A152,'2. Fähigkeiten'!B$16:F$121,5,FALSE)</f>
        <v>0</v>
      </c>
    </row>
    <row r="153" spans="1:2" hidden="1" outlineLevel="1" x14ac:dyDescent="0.25">
      <c r="A153" s="207" t="s">
        <v>218</v>
      </c>
      <c r="B153" s="208">
        <f>VLOOKUP(A153,'2. Fähigkeiten'!B$16:F$121,5,FALSE)</f>
        <v>0</v>
      </c>
    </row>
    <row r="154" spans="1:2" hidden="1" outlineLevel="1" x14ac:dyDescent="0.25">
      <c r="A154" s="207" t="s">
        <v>219</v>
      </c>
      <c r="B154" s="208">
        <f>VLOOKUP(A154,'2. Fähigkeiten'!B$16:F$121,5,FALSE)</f>
        <v>0</v>
      </c>
    </row>
    <row r="155" spans="1:2" hidden="1" outlineLevel="1" x14ac:dyDescent="0.25">
      <c r="A155" s="207" t="s">
        <v>220</v>
      </c>
      <c r="B155" s="208">
        <f>VLOOKUP(A155,'2. Fähigkeiten'!B$16:F$121,5,FALSE)</f>
        <v>0</v>
      </c>
    </row>
    <row r="156" spans="1:2" hidden="1" outlineLevel="1" x14ac:dyDescent="0.25">
      <c r="A156" s="209" t="str">
        <f>IF(ISERROR(FIND(#REF!,'1. Allgemeines'!$B$25)),"","Kernfähigkeit")</f>
        <v/>
      </c>
      <c r="B156" s="208"/>
    </row>
    <row r="157" spans="1:2" hidden="1" outlineLevel="1" x14ac:dyDescent="0.25">
      <c r="A157" s="207" t="s">
        <v>221</v>
      </c>
      <c r="B157" s="208">
        <f>VLOOKUP(A157,'2. Fähigkeiten'!B$16:F$121,5,FALSE)</f>
        <v>0</v>
      </c>
    </row>
    <row r="158" spans="1:2" hidden="1" outlineLevel="1" x14ac:dyDescent="0.25">
      <c r="A158" s="207" t="s">
        <v>222</v>
      </c>
      <c r="B158" s="208">
        <f>VLOOKUP(A158,'2. Fähigkeiten'!B$16:F$121,5,FALSE)</f>
        <v>0</v>
      </c>
    </row>
    <row r="159" spans="1:2" hidden="1" outlineLevel="1" x14ac:dyDescent="0.25">
      <c r="A159" s="207" t="s">
        <v>223</v>
      </c>
      <c r="B159" s="208">
        <f>VLOOKUP(A159,'2. Fähigkeiten'!B$16:F$121,5,FALSE)</f>
        <v>0</v>
      </c>
    </row>
    <row r="160" spans="1:2" hidden="1" outlineLevel="1" x14ac:dyDescent="0.25">
      <c r="A160" s="207" t="s">
        <v>224</v>
      </c>
      <c r="B160" s="208">
        <f>VLOOKUP(A160,'2. Fähigkeiten'!B$16:F$121,5,FALSE)</f>
        <v>0</v>
      </c>
    </row>
    <row r="161" spans="1:2" hidden="1" outlineLevel="1" x14ac:dyDescent="0.25">
      <c r="A161" s="209" t="str">
        <f>IF(ISERROR(FIND(#REF!,'1. Allgemeines'!$B$25)),"","Kernfähigkeit")</f>
        <v/>
      </c>
      <c r="B161" s="208"/>
    </row>
    <row r="162" spans="1:2" hidden="1" outlineLevel="1" x14ac:dyDescent="0.25">
      <c r="A162" s="207" t="s">
        <v>225</v>
      </c>
      <c r="B162" s="208">
        <f>VLOOKUP(A162,'2. Fähigkeiten'!B$16:F$121,5,FALSE)</f>
        <v>0</v>
      </c>
    </row>
    <row r="163" spans="1:2" hidden="1" outlineLevel="1" x14ac:dyDescent="0.25">
      <c r="A163" s="207" t="s">
        <v>226</v>
      </c>
      <c r="B163" s="208">
        <f>VLOOKUP(A163,'2. Fähigkeiten'!B$16:F$121,5,FALSE)</f>
        <v>0</v>
      </c>
    </row>
    <row r="164" spans="1:2" hidden="1" outlineLevel="1" x14ac:dyDescent="0.25">
      <c r="A164" s="207" t="s">
        <v>227</v>
      </c>
      <c r="B164" s="208">
        <f>VLOOKUP(A164,'2. Fähigkeiten'!B$16:F$121,5,FALSE)</f>
        <v>0</v>
      </c>
    </row>
    <row r="165" spans="1:2" hidden="1" outlineLevel="1" x14ac:dyDescent="0.25">
      <c r="A165" s="207" t="s">
        <v>228</v>
      </c>
      <c r="B165" s="208">
        <f>VLOOKUP(A165,'2. Fähigkeiten'!B$16:F$121,5,FALSE)</f>
        <v>0</v>
      </c>
    </row>
    <row r="166" spans="1:2" hidden="1" outlineLevel="1" x14ac:dyDescent="0.25">
      <c r="A166" s="209" t="str">
        <f>IF(ISERROR(FIND(#REF!,'1. Allgemeines'!$B$25)),"","Kernfähigkeit")</f>
        <v/>
      </c>
      <c r="B166" s="208"/>
    </row>
    <row r="167" spans="1:2" hidden="1" outlineLevel="1" x14ac:dyDescent="0.25">
      <c r="A167" s="207" t="s">
        <v>229</v>
      </c>
      <c r="B167" s="208">
        <f>VLOOKUP(A167,'2. Fähigkeiten'!B$16:F$121,5,FALSE)</f>
        <v>0</v>
      </c>
    </row>
    <row r="168" spans="1:2" hidden="1" outlineLevel="1" x14ac:dyDescent="0.25">
      <c r="A168" s="207" t="s">
        <v>230</v>
      </c>
      <c r="B168" s="208">
        <f>VLOOKUP(A168,'2. Fähigkeiten'!B$16:F$121,5,FALSE)</f>
        <v>0</v>
      </c>
    </row>
    <row r="169" spans="1:2" hidden="1" outlineLevel="1" x14ac:dyDescent="0.25">
      <c r="A169" s="207" t="s">
        <v>231</v>
      </c>
      <c r="B169" s="208">
        <f>VLOOKUP(A169,'2. Fähigkeiten'!B$16:F$121,5,FALSE)</f>
        <v>0</v>
      </c>
    </row>
    <row r="170" spans="1:2" hidden="1" outlineLevel="1" x14ac:dyDescent="0.25">
      <c r="A170" s="207" t="s">
        <v>232</v>
      </c>
      <c r="B170" s="208">
        <f>VLOOKUP(A170,'2. Fähigkeiten'!B$16:F$121,5,FALSE)</f>
        <v>0</v>
      </c>
    </row>
    <row r="171" spans="1:2" hidden="1" outlineLevel="1" x14ac:dyDescent="0.25">
      <c r="A171" s="207" t="s">
        <v>233</v>
      </c>
      <c r="B171" s="208">
        <f>VLOOKUP(A171,'2. Fähigkeiten'!B$16:F$121,5,FALSE)</f>
        <v>0</v>
      </c>
    </row>
    <row r="172" spans="1:2" hidden="1" outlineLevel="1" x14ac:dyDescent="0.25">
      <c r="A172" s="207" t="s">
        <v>234</v>
      </c>
      <c r="B172" s="208">
        <f>VLOOKUP(A172,'2. Fähigkeiten'!B$16:F$121,5,FALSE)</f>
        <v>0</v>
      </c>
    </row>
    <row r="173" spans="1:2" hidden="1" outlineLevel="1" x14ac:dyDescent="0.25">
      <c r="A173" s="207" t="s">
        <v>235</v>
      </c>
      <c r="B173" s="208">
        <f>VLOOKUP(A173,'2. Fähigkeiten'!B$16:F$121,5,FALSE)</f>
        <v>0</v>
      </c>
    </row>
    <row r="174" spans="1:2" hidden="1" outlineLevel="1" x14ac:dyDescent="0.25">
      <c r="A174" s="209" t="str">
        <f>IF(ISERROR(FIND(#REF!,'1. Allgemeines'!$B$25)),"","Kernfähigkeit")</f>
        <v/>
      </c>
      <c r="B174" s="208"/>
    </row>
    <row r="175" spans="1:2" hidden="1" outlineLevel="1" x14ac:dyDescent="0.25">
      <c r="A175" s="207" t="s">
        <v>236</v>
      </c>
      <c r="B175" s="208">
        <f>VLOOKUP(A175,'2. Fähigkeiten'!B$16:F$121,5,FALSE)</f>
        <v>0</v>
      </c>
    </row>
    <row r="176" spans="1:2" hidden="1" outlineLevel="1" x14ac:dyDescent="0.25">
      <c r="A176" s="207" t="s">
        <v>237</v>
      </c>
      <c r="B176" s="208">
        <f>VLOOKUP(A176,'2. Fähigkeiten'!B$16:F$121,5,FALSE)</f>
        <v>0</v>
      </c>
    </row>
    <row r="177" spans="1:2" hidden="1" outlineLevel="1" x14ac:dyDescent="0.25">
      <c r="A177" s="207" t="s">
        <v>238</v>
      </c>
      <c r="B177" s="208">
        <f>VLOOKUP(A177,'2. Fähigkeiten'!B$16:F$121,5,FALSE)</f>
        <v>0</v>
      </c>
    </row>
    <row r="178" spans="1:2" hidden="1" outlineLevel="1" x14ac:dyDescent="0.25">
      <c r="A178" s="207" t="s">
        <v>239</v>
      </c>
      <c r="B178" s="208">
        <f>VLOOKUP(A178,'2. Fähigkeiten'!B$16:F$121,5,FALSE)</f>
        <v>0</v>
      </c>
    </row>
    <row r="179" spans="1:2" hidden="1" outlineLevel="1" x14ac:dyDescent="0.25">
      <c r="A179" s="209" t="str">
        <f>IF(ISERROR(FIND(#REF!,'1. Allgemeines'!$B$25)),"","Kernfähigkeit")</f>
        <v/>
      </c>
      <c r="B179" s="208"/>
    </row>
    <row r="180" spans="1:2" hidden="1" outlineLevel="1" x14ac:dyDescent="0.25">
      <c r="A180" s="207" t="s">
        <v>240</v>
      </c>
      <c r="B180" s="208">
        <f>VLOOKUP(A180,'2. Fähigkeiten'!B$16:F$121,5,FALSE)</f>
        <v>0</v>
      </c>
    </row>
    <row r="181" spans="1:2" hidden="1" outlineLevel="1" x14ac:dyDescent="0.25">
      <c r="A181" s="207" t="s">
        <v>241</v>
      </c>
      <c r="B181" s="208">
        <f>VLOOKUP(A181,'2. Fähigkeiten'!B$16:F$121,5,FALSE)</f>
        <v>0</v>
      </c>
    </row>
    <row r="182" spans="1:2" hidden="1" outlineLevel="1" x14ac:dyDescent="0.25">
      <c r="A182" s="209" t="str">
        <f>IF(ISERROR(FIND(#REF!,'1. Allgemeines'!$B$25)),"","Kernfähigkeit")</f>
        <v/>
      </c>
      <c r="B182" s="208"/>
    </row>
    <row r="183" spans="1:2" hidden="1" outlineLevel="1" x14ac:dyDescent="0.25">
      <c r="A183" s="207" t="s">
        <v>242</v>
      </c>
      <c r="B183" s="208">
        <f>VLOOKUP(A183,'2. Fähigkeiten'!B$16:F$121,5,FALSE)</f>
        <v>0</v>
      </c>
    </row>
    <row r="184" spans="1:2" hidden="1" outlineLevel="1" x14ac:dyDescent="0.25">
      <c r="A184" s="207" t="s">
        <v>243</v>
      </c>
      <c r="B184" s="208">
        <f>VLOOKUP(A184,'2. Fähigkeiten'!B$16:F$121,5,FALSE)</f>
        <v>0</v>
      </c>
    </row>
    <row r="185" spans="1:2" hidden="1" outlineLevel="1" x14ac:dyDescent="0.25">
      <c r="A185" s="209" t="str">
        <f>IF(ISERROR(FIND(#REF!,'1. Allgemeines'!$B$25)),"","Kernfähigkeit")</f>
        <v/>
      </c>
      <c r="B185" s="208"/>
    </row>
    <row r="186" spans="1:2" hidden="1" outlineLevel="1" x14ac:dyDescent="0.25">
      <c r="A186" s="207" t="s">
        <v>244</v>
      </c>
      <c r="B186" s="208">
        <f>VLOOKUP(A186,'2. Fähigkeiten'!B$16:F$121,5,FALSE)</f>
        <v>0</v>
      </c>
    </row>
    <row r="187" spans="1:2" hidden="1" outlineLevel="1" x14ac:dyDescent="0.25">
      <c r="A187" s="207" t="s">
        <v>245</v>
      </c>
      <c r="B187" s="208">
        <f>VLOOKUP(A187,'2. Fähigkeiten'!B$16:F$121,5,FALSE)</f>
        <v>0</v>
      </c>
    </row>
    <row r="188" spans="1:2" hidden="1" outlineLevel="1" x14ac:dyDescent="0.25">
      <c r="A188" s="207" t="s">
        <v>246</v>
      </c>
      <c r="B188" s="208">
        <f>VLOOKUP(A188,'2. Fähigkeiten'!B$16:F$121,5,FALSE)</f>
        <v>0</v>
      </c>
    </row>
    <row r="189" spans="1:2" hidden="1" outlineLevel="1" x14ac:dyDescent="0.25">
      <c r="A189" s="209" t="str">
        <f>IF(ISERROR(FIND(#REF!,'1. Allgemeines'!$B$25)),"","Kernfähigkeit")</f>
        <v/>
      </c>
      <c r="B189" s="208"/>
    </row>
    <row r="190" spans="1:2" hidden="1" outlineLevel="1" x14ac:dyDescent="0.25">
      <c r="A190" s="207" t="s">
        <v>247</v>
      </c>
      <c r="B190" s="208">
        <f>VLOOKUP(A190,'2. Fähigkeiten'!B$16:F$121,5,FALSE)</f>
        <v>0</v>
      </c>
    </row>
    <row r="191" spans="1:2" hidden="1" outlineLevel="1" x14ac:dyDescent="0.25">
      <c r="A191" s="207" t="s">
        <v>248</v>
      </c>
      <c r="B191" s="208">
        <f>VLOOKUP(A191,'2. Fähigkeiten'!B$16:F$121,5,FALSE)</f>
        <v>0</v>
      </c>
    </row>
    <row r="192" spans="1:2" hidden="1" outlineLevel="1" x14ac:dyDescent="0.25">
      <c r="A192" s="207" t="s">
        <v>249</v>
      </c>
      <c r="B192" s="208">
        <f>VLOOKUP(A192,'2. Fähigkeiten'!B$16:F$121,5,FALSE)</f>
        <v>0</v>
      </c>
    </row>
    <row r="193" hidden="1" collapsed="1" x14ac:dyDescent="0.25"/>
  </sheetData>
  <sheetProtection algorithmName="SHA-512" hashValue="8WWtTFnXWOpFZBUGAfERy3ngfuO4pAOlHtkqTFYmvPI6Ado/RpvVzGftV19HTppBO5EWJdlwqhVWbq7MWVQDdw==" saltValue="u6kSFdJK6Y+a5yVBo9wIVw==" spinCount="100000" sheet="1" objects="1" scenarios="1"/>
  <mergeCells count="70">
    <mergeCell ref="C34:D34"/>
    <mergeCell ref="C70:D70"/>
    <mergeCell ref="C71:D71"/>
    <mergeCell ref="C36:D36"/>
    <mergeCell ref="C55:D55"/>
    <mergeCell ref="C56:D56"/>
    <mergeCell ref="C61:D61"/>
    <mergeCell ref="C60:D60"/>
    <mergeCell ref="C64:D64"/>
    <mergeCell ref="C65:D65"/>
    <mergeCell ref="C66:D66"/>
    <mergeCell ref="C67:D67"/>
    <mergeCell ref="C68:D68"/>
    <mergeCell ref="C62:D62"/>
    <mergeCell ref="C38:D38"/>
    <mergeCell ref="C39:D39"/>
    <mergeCell ref="B77:E77"/>
    <mergeCell ref="C29:D29"/>
    <mergeCell ref="C30:D30"/>
    <mergeCell ref="C31:D31"/>
    <mergeCell ref="C35:D35"/>
    <mergeCell ref="C32:D32"/>
    <mergeCell ref="C33:D33"/>
    <mergeCell ref="C59:D59"/>
    <mergeCell ref="C57:D57"/>
    <mergeCell ref="C58:D58"/>
    <mergeCell ref="C69:D69"/>
    <mergeCell ref="C72:D72"/>
    <mergeCell ref="C73:D73"/>
    <mergeCell ref="C74:D74"/>
    <mergeCell ref="C63:D63"/>
    <mergeCell ref="C37:D37"/>
    <mergeCell ref="C28:D28"/>
    <mergeCell ref="C24:D24"/>
    <mergeCell ref="C25:D25"/>
    <mergeCell ref="C27:D27"/>
    <mergeCell ref="C23:D23"/>
    <mergeCell ref="C26:D26"/>
    <mergeCell ref="C22:D22"/>
    <mergeCell ref="C17:D17"/>
    <mergeCell ref="C18:D18"/>
    <mergeCell ref="C21:D21"/>
    <mergeCell ref="C16:D16"/>
    <mergeCell ref="C19:D19"/>
    <mergeCell ref="C20:D20"/>
    <mergeCell ref="B13:I13"/>
    <mergeCell ref="C15:D15"/>
    <mergeCell ref="F15:G15"/>
    <mergeCell ref="A1:I1"/>
    <mergeCell ref="A3:B3"/>
    <mergeCell ref="C3:G3"/>
    <mergeCell ref="H3:I3"/>
    <mergeCell ref="D5:G5"/>
    <mergeCell ref="D6:G11"/>
    <mergeCell ref="E36:G54"/>
    <mergeCell ref="C50:D50"/>
    <mergeCell ref="C51:D51"/>
    <mergeCell ref="C52:D52"/>
    <mergeCell ref="C53:D53"/>
    <mergeCell ref="C54:D54"/>
    <mergeCell ref="C45:D45"/>
    <mergeCell ref="C46:D46"/>
    <mergeCell ref="C47:D47"/>
    <mergeCell ref="C48:D48"/>
    <mergeCell ref="C49:D49"/>
    <mergeCell ref="C40:D40"/>
    <mergeCell ref="C41:D41"/>
    <mergeCell ref="C42:D42"/>
    <mergeCell ref="C43:D43"/>
    <mergeCell ref="C44:D44"/>
  </mergeCells>
  <conditionalFormatting sqref="B16:B18 B21:B25 B27:B29">
    <cfRule type="expression" dxfId="29" priority="50">
      <formula>AND($B$11&gt;0,$I16=TRUE)</formula>
    </cfRule>
  </conditionalFormatting>
  <conditionalFormatting sqref="B30">
    <cfRule type="expression" dxfId="28" priority="48">
      <formula>AND($B$11&gt;0,$I30=TRUE)</formula>
    </cfRule>
  </conditionalFormatting>
  <conditionalFormatting sqref="B31">
    <cfRule type="expression" dxfId="27" priority="47">
      <formula>AND($B$11&gt;0,$I31=TRUE)</formula>
    </cfRule>
  </conditionalFormatting>
  <conditionalFormatting sqref="B35:B54">
    <cfRule type="expression" dxfId="26" priority="46">
      <formula>AND($B$11&gt;0,$I35=TRUE)</formula>
    </cfRule>
  </conditionalFormatting>
  <conditionalFormatting sqref="B32">
    <cfRule type="expression" dxfId="25" priority="45">
      <formula>AND($B$11&gt;0,$I32=TRUE)</formula>
    </cfRule>
  </conditionalFormatting>
  <conditionalFormatting sqref="B33">
    <cfRule type="expression" dxfId="24" priority="44">
      <formula>AND($B$11&gt;0,$I33=TRUE)</formula>
    </cfRule>
  </conditionalFormatting>
  <conditionalFormatting sqref="B59">
    <cfRule type="expression" dxfId="23" priority="43">
      <formula>AND($B$11&gt;0,$I59=TRUE)</formula>
    </cfRule>
  </conditionalFormatting>
  <conditionalFormatting sqref="B57">
    <cfRule type="expression" dxfId="22" priority="42">
      <formula>AND($B$11&gt;0,$I57=TRUE)</formula>
    </cfRule>
  </conditionalFormatting>
  <conditionalFormatting sqref="B58">
    <cfRule type="expression" dxfId="21" priority="41">
      <formula>AND($B$11&gt;0,$I58=TRUE)</formula>
    </cfRule>
  </conditionalFormatting>
  <conditionalFormatting sqref="B56">
    <cfRule type="expression" dxfId="20" priority="40">
      <formula>AND($B$11&gt;0,$I56=TRUE)</formula>
    </cfRule>
  </conditionalFormatting>
  <conditionalFormatting sqref="B55">
    <cfRule type="expression" dxfId="19" priority="38">
      <formula>AND($B$11&gt;0,$I55=TRUE)</formula>
    </cfRule>
  </conditionalFormatting>
  <conditionalFormatting sqref="B61">
    <cfRule type="expression" dxfId="18" priority="37">
      <formula>AND($B$11&gt;0,$I61=TRUE)</formula>
    </cfRule>
  </conditionalFormatting>
  <conditionalFormatting sqref="B60">
    <cfRule type="expression" dxfId="17" priority="36">
      <formula>AND($B$11&gt;0,$I60=TRUE)</formula>
    </cfRule>
  </conditionalFormatting>
  <conditionalFormatting sqref="B62">
    <cfRule type="expression" dxfId="16" priority="35">
      <formula>AND($B$11&gt;0,$I62=TRUE)</formula>
    </cfRule>
  </conditionalFormatting>
  <conditionalFormatting sqref="B64">
    <cfRule type="expression" dxfId="15" priority="34">
      <formula>AND($B$11&gt;0,$I64=TRUE)</formula>
    </cfRule>
  </conditionalFormatting>
  <conditionalFormatting sqref="B63">
    <cfRule type="expression" dxfId="14" priority="33">
      <formula>AND($B$11&gt;0,$I63=TRUE)</formula>
    </cfRule>
  </conditionalFormatting>
  <conditionalFormatting sqref="B67">
    <cfRule type="expression" dxfId="13" priority="32">
      <formula>AND($B$11&gt;0,$I67=TRUE)</formula>
    </cfRule>
  </conditionalFormatting>
  <conditionalFormatting sqref="B65">
    <cfRule type="expression" dxfId="12" priority="31">
      <formula>AND($B$11&gt;0,$I65=TRUE)</formula>
    </cfRule>
  </conditionalFormatting>
  <conditionalFormatting sqref="B66">
    <cfRule type="expression" dxfId="11" priority="30">
      <formula>AND($B$11&gt;0,$I66=TRUE)</formula>
    </cfRule>
  </conditionalFormatting>
  <conditionalFormatting sqref="B69">
    <cfRule type="expression" dxfId="10" priority="29">
      <formula>AND($B$11&gt;0,$I69=TRUE)</formula>
    </cfRule>
  </conditionalFormatting>
  <conditionalFormatting sqref="B68">
    <cfRule type="expression" dxfId="9" priority="28">
      <formula>AND($B$11&gt;0,$I68=TRUE)</formula>
    </cfRule>
  </conditionalFormatting>
  <conditionalFormatting sqref="B72">
    <cfRule type="expression" dxfId="8" priority="27">
      <formula>AND($B$11&gt;0,$I72=TRUE)</formula>
    </cfRule>
  </conditionalFormatting>
  <conditionalFormatting sqref="B74">
    <cfRule type="expression" dxfId="7" priority="26">
      <formula>AND($B$11&gt;0,$I74=TRUE)</formula>
    </cfRule>
  </conditionalFormatting>
  <conditionalFormatting sqref="B73">
    <cfRule type="expression" dxfId="6" priority="25">
      <formula>AND($B$11&gt;0,$I73=TRUE)</formula>
    </cfRule>
  </conditionalFormatting>
  <conditionalFormatting sqref="B19">
    <cfRule type="expression" dxfId="5" priority="24">
      <formula>AND($B$11&gt;0,$I19=TRUE)</formula>
    </cfRule>
  </conditionalFormatting>
  <conditionalFormatting sqref="B20">
    <cfRule type="expression" dxfId="4" priority="23">
      <formula>AND($B$11&gt;0,$I20=TRUE)</formula>
    </cfRule>
  </conditionalFormatting>
  <conditionalFormatting sqref="B26">
    <cfRule type="expression" dxfId="3" priority="22">
      <formula>AND($B$11&gt;0,$I26=TRUE)</formula>
    </cfRule>
  </conditionalFormatting>
  <conditionalFormatting sqref="B34">
    <cfRule type="expression" dxfId="2" priority="21">
      <formula>AND($B$11&gt;0,$I34=TRUE)</formula>
    </cfRule>
  </conditionalFormatting>
  <conditionalFormatting sqref="B70">
    <cfRule type="expression" dxfId="1" priority="20">
      <formula>AND($B$11&gt;0,$I70=TRUE)</formula>
    </cfRule>
  </conditionalFormatting>
  <conditionalFormatting sqref="B71">
    <cfRule type="expression" dxfId="0" priority="19">
      <formula>AND($B$11&gt;0,$I71=TRUE)</formula>
    </cfRule>
  </conditionalFormatting>
  <dataValidations count="1">
    <dataValidation type="list" allowBlank="1" showInputMessage="1" showErrorMessage="1" sqref="B16:B74">
      <formula1>"ja,nein"</formula1>
    </dataValidation>
  </dataValidations>
  <hyperlinks>
    <hyperlink ref="C3:G3" location="Rollenspielbücher!A1" display="Rollenspielbücher!A1"/>
    <hyperlink ref="H3:I3" r:id="rId1" display="http://www.jaegers.net/"/>
    <hyperlink ref="A77" location="Charakterbogen!A1" display="weiter im Charakterbogen"/>
    <hyperlink ref="B77:D77" location="'2. Fähigkeiten Spezialisierung'!H8" display="'2. Fähigkeiten Spezialisierung'!H8"/>
    <hyperlink ref="B77:E77" location="'3. Vorteile'!D5" display="'3. Vorteile'!D5"/>
  </hyperlinks>
  <pageMargins left="0.7" right="0.7" top="0.78740157499999996" bottom="0.78740157499999996" header="0.3" footer="0.3"/>
  <pageSetup paperSize="9" orientation="portrait" horizontalDpi="0"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5"/>
  <sheetViews>
    <sheetView showZeros="0" zoomScale="80" zoomScaleNormal="80" zoomScalePageLayoutView="80" workbookViewId="0">
      <selection activeCell="E15" sqref="E15:X15"/>
    </sheetView>
  </sheetViews>
  <sheetFormatPr baseColWidth="10" defaultRowHeight="15.75" x14ac:dyDescent="0.25"/>
  <cols>
    <col min="1" max="1" width="4.7109375" style="65" customWidth="1"/>
    <col min="2" max="2" width="3.28515625" style="70" hidden="1" customWidth="1"/>
    <col min="3" max="3" width="16" style="65" customWidth="1"/>
    <col min="4" max="4" width="16" style="66" customWidth="1"/>
    <col min="5" max="7" width="5.7109375" style="66" customWidth="1"/>
    <col min="8" max="12" width="5.7109375" style="65" customWidth="1"/>
    <col min="13" max="13" width="3.28515625" style="70" hidden="1" customWidth="1"/>
    <col min="14" max="14" width="16" style="65" customWidth="1"/>
    <col min="15" max="21" width="2" style="65" customWidth="1"/>
    <col min="22" max="22" width="2" style="66" customWidth="1"/>
    <col min="23" max="24" width="25.28515625" style="65" customWidth="1"/>
    <col min="25" max="25" width="4.7109375" style="65" customWidth="1"/>
    <col min="26" max="26" width="34.5703125" style="65" customWidth="1"/>
    <col min="27" max="16384" width="11.42578125" style="65"/>
  </cols>
  <sheetData>
    <row r="1" spans="1:25" ht="16.5" customHeight="1" thickBot="1" x14ac:dyDescent="0.3">
      <c r="A1" s="80"/>
      <c r="C1" s="483"/>
      <c r="D1" s="483"/>
      <c r="E1" s="483"/>
      <c r="F1" s="483"/>
      <c r="G1" s="483"/>
      <c r="H1" s="483"/>
      <c r="I1" s="483"/>
      <c r="J1" s="483"/>
      <c r="K1" s="483"/>
      <c r="L1" s="483"/>
      <c r="M1" s="483"/>
      <c r="N1" s="483"/>
      <c r="O1" s="483"/>
      <c r="P1" s="483"/>
      <c r="Q1" s="483"/>
      <c r="R1" s="483"/>
      <c r="S1" s="483"/>
      <c r="T1" s="483"/>
      <c r="U1" s="483"/>
      <c r="V1" s="483"/>
      <c r="W1" s="483"/>
      <c r="X1" s="482" t="s">
        <v>370</v>
      </c>
      <c r="Y1" s="80"/>
    </row>
    <row r="2" spans="1:25" ht="44.1" customHeight="1" thickTop="1" thickBot="1" x14ac:dyDescent="0.3">
      <c r="A2" s="80"/>
      <c r="C2" s="67" t="s">
        <v>332</v>
      </c>
      <c r="D2" s="456" t="str">
        <f>IF('1. Allgemeines'!B13&lt;&gt;"",'1. Allgemeines'!H13&amp;" "&amp;Bastardname,"")</f>
        <v/>
      </c>
      <c r="E2" s="456"/>
      <c r="F2" s="456"/>
      <c r="G2" s="456"/>
      <c r="H2" s="456"/>
      <c r="I2" s="456"/>
      <c r="J2" s="456"/>
      <c r="K2" s="456"/>
      <c r="L2" s="456"/>
      <c r="M2" s="456"/>
      <c r="N2" s="456"/>
      <c r="O2" s="456"/>
      <c r="P2" s="456"/>
      <c r="Q2" s="456"/>
      <c r="R2" s="456"/>
      <c r="S2" s="456"/>
      <c r="T2" s="456"/>
      <c r="U2" s="456"/>
      <c r="V2" s="456"/>
      <c r="W2" s="456"/>
      <c r="X2" s="482"/>
      <c r="Y2" s="80"/>
    </row>
    <row r="3" spans="1:25" ht="44.1" customHeight="1" thickTop="1" thickBot="1" x14ac:dyDescent="0.3">
      <c r="A3" s="80"/>
      <c r="C3" s="67" t="s">
        <v>34</v>
      </c>
      <c r="D3" s="456" t="str">
        <f>'1. Allgemeines'!H18</f>
        <v>Mittleren Alters</v>
      </c>
      <c r="E3" s="456"/>
      <c r="F3" s="411" t="s">
        <v>269</v>
      </c>
      <c r="G3" s="411"/>
      <c r="H3" s="411"/>
      <c r="I3" s="411"/>
      <c r="J3" s="456" t="str">
        <f>'1. Allgemeines'!H12</f>
        <v>männlich</v>
      </c>
      <c r="K3" s="456"/>
      <c r="L3" s="456"/>
      <c r="M3" s="72"/>
      <c r="N3" s="86" t="s">
        <v>333</v>
      </c>
      <c r="O3" s="395" t="str">
        <f ca="1">'1. Allgemeines'!H14&amp;" unter "&amp;'1. Allgemeines'!H16</f>
        <v>Die Mondberge unter Jon Arryn, Lord über Hohenehr, Hand des Königs, Wächter des Ostens</v>
      </c>
      <c r="P3" s="395"/>
      <c r="Q3" s="395"/>
      <c r="R3" s="395"/>
      <c r="S3" s="395"/>
      <c r="T3" s="395"/>
      <c r="U3" s="395"/>
      <c r="V3" s="395"/>
      <c r="W3" s="396"/>
      <c r="X3" s="87" t="s">
        <v>371</v>
      </c>
      <c r="Y3" s="80"/>
    </row>
    <row r="4" spans="1:25" ht="44.1" customHeight="1" thickTop="1" thickBot="1" x14ac:dyDescent="0.3">
      <c r="A4" s="80"/>
      <c r="C4" s="411" t="s">
        <v>23</v>
      </c>
      <c r="D4" s="411"/>
      <c r="E4" s="411"/>
      <c r="F4" s="411"/>
      <c r="G4" s="411"/>
      <c r="H4" s="411"/>
      <c r="I4" s="411"/>
      <c r="J4" s="411"/>
      <c r="K4" s="411"/>
      <c r="L4" s="411"/>
      <c r="M4" s="411"/>
      <c r="N4" s="411"/>
      <c r="O4" s="411"/>
      <c r="P4" s="411"/>
      <c r="Q4" s="411"/>
      <c r="R4" s="411"/>
      <c r="S4" s="411"/>
      <c r="T4" s="411"/>
      <c r="U4" s="411"/>
      <c r="V4" s="411"/>
      <c r="W4" s="411"/>
      <c r="X4" s="411"/>
      <c r="Y4" s="80"/>
    </row>
    <row r="5" spans="1:25" ht="44.1" customHeight="1" thickTop="1" thickBot="1" x14ac:dyDescent="0.3">
      <c r="A5" s="80"/>
      <c r="C5" s="67" t="s">
        <v>334</v>
      </c>
      <c r="D5" s="67" t="s">
        <v>179</v>
      </c>
      <c r="E5" s="411" t="s">
        <v>180</v>
      </c>
      <c r="F5" s="411"/>
      <c r="G5" s="411"/>
      <c r="H5" s="411"/>
      <c r="I5" s="411"/>
      <c r="J5" s="411"/>
      <c r="K5" s="411"/>
      <c r="L5" s="411"/>
      <c r="M5" s="72"/>
      <c r="N5" s="67" t="str">
        <f>C5</f>
        <v>Wert</v>
      </c>
      <c r="O5" s="458" t="str">
        <f>D5</f>
        <v>Fähigkeit</v>
      </c>
      <c r="P5" s="476"/>
      <c r="Q5" s="476"/>
      <c r="R5" s="476"/>
      <c r="S5" s="476"/>
      <c r="T5" s="476"/>
      <c r="U5" s="476"/>
      <c r="V5" s="477"/>
      <c r="W5" s="411" t="str">
        <f>E5</f>
        <v>Spezialisierungen</v>
      </c>
      <c r="X5" s="411"/>
      <c r="Y5" s="80"/>
    </row>
    <row r="6" spans="1:25" ht="44.1" customHeight="1" thickTop="1" thickBot="1" x14ac:dyDescent="0.3">
      <c r="A6" s="80"/>
      <c r="B6" s="71">
        <v>1</v>
      </c>
      <c r="C6" s="68">
        <f>VLOOKUP(VLOOKUP(B6,'_Tabellen und Listen'!$A$145:$B$163,2,FALSE),'3. Vorteile'!$A$265:$D$283,2,FALSE)</f>
        <v>2</v>
      </c>
      <c r="D6" s="69" t="s">
        <v>24</v>
      </c>
      <c r="E6" s="413" t="str">
        <f>VLOOKUP(VLOOKUP(B6,'_Tabellen und Listen'!$A$145:$B$163,2,FALSE),'2. Fähigkeiten'!$A$16:$M$121,13,FALSE)&amp;IF(VLOOKUP("Makel "&amp;VLOOKUP(VLOOKUP(B6,'_Tabellen und Listen'!$A$145:$B$163,2,FALSE),'_Tabellen und Listen'!$B$145:$C$163,2,FALSE),'4. Nachteile'!$A$36:$B$54,2,FALSE)="ja"," [-1W durch Makel]","")</f>
        <v/>
      </c>
      <c r="F6" s="413"/>
      <c r="G6" s="413"/>
      <c r="H6" s="413"/>
      <c r="I6" s="413"/>
      <c r="J6" s="413"/>
      <c r="K6" s="413"/>
      <c r="L6" s="413"/>
      <c r="M6" s="73">
        <f>+B15+1</f>
        <v>11</v>
      </c>
      <c r="N6" s="68">
        <f>VLOOKUP(VLOOKUP(M6,'_Tabellen und Listen'!$A$145:$B$163,2,FALSE),'3. Vorteile'!$A$265:$D$283,2,FALSE)-IF('4. Nachteile'!B16="ja",2,0)</f>
        <v>2</v>
      </c>
      <c r="O6" s="467" t="s">
        <v>28</v>
      </c>
      <c r="P6" s="468"/>
      <c r="Q6" s="468"/>
      <c r="R6" s="468"/>
      <c r="S6" s="468"/>
      <c r="T6" s="468"/>
      <c r="U6" s="468"/>
      <c r="V6" s="469"/>
      <c r="W6" s="459" t="str">
        <f>VLOOKUP(VLOOKUP(M6,'_Tabellen und Listen'!$A$145:$B$163,2,FALSE),'2. Fähigkeiten'!$A$16:$M$121,13,FALSE)&amp;IF(VLOOKUP("Makel "&amp;VLOOKUP(VLOOKUP(M6,'_Tabellen und Listen'!$A$145:$B$163,2,FALSE),'_Tabellen und Listen'!$B$145:$C$163,2,FALSE),'4. Nachteile'!$A$36:$B$54,2,FALSE)="ja"," [-1W durch Makel]","")</f>
        <v/>
      </c>
      <c r="X6" s="460"/>
      <c r="Y6" s="80"/>
    </row>
    <row r="7" spans="1:25" ht="44.1" customHeight="1" thickTop="1" thickBot="1" x14ac:dyDescent="0.3">
      <c r="A7" s="80"/>
      <c r="B7" s="71">
        <f>+B6+1</f>
        <v>2</v>
      </c>
      <c r="C7" s="237">
        <f>VLOOKUP(VLOOKUP(B7,'_Tabellen und Listen'!$A$145:$B$163,2,FALSE),'3. Vorteile'!$A$265:$D$283,2,FALSE)</f>
        <v>2</v>
      </c>
      <c r="D7" s="69" t="s">
        <v>25</v>
      </c>
      <c r="E7" s="413" t="str">
        <f>VLOOKUP(VLOOKUP(B7,'_Tabellen und Listen'!$A$145:$B$163,2,FALSE),'2. Fähigkeiten'!$A$16:$M$121,13,FALSE)&amp;IF(VLOOKUP("Makel "&amp;VLOOKUP(VLOOKUP(B7,'_Tabellen und Listen'!$A$145:$B$163,2,FALSE),'_Tabellen und Listen'!$B$145:$C$163,2,FALSE),'4. Nachteile'!$A$36:$B$54,2,FALSE)="ja"," [-1W durch Makel]","")</f>
        <v/>
      </c>
      <c r="F7" s="413"/>
      <c r="G7" s="413"/>
      <c r="H7" s="413"/>
      <c r="I7" s="413"/>
      <c r="J7" s="413"/>
      <c r="K7" s="413"/>
      <c r="L7" s="413"/>
      <c r="M7" s="73">
        <f>+M6+1</f>
        <v>12</v>
      </c>
      <c r="N7" s="237">
        <f>VLOOKUP(VLOOKUP(M7,'_Tabellen und Listen'!$A$145:$B$163,2,FALSE),'3. Vorteile'!$A$265:$D$283,2,FALSE)</f>
        <v>2</v>
      </c>
      <c r="O7" s="467" t="s">
        <v>173</v>
      </c>
      <c r="P7" s="468"/>
      <c r="Q7" s="468"/>
      <c r="R7" s="468"/>
      <c r="S7" s="468"/>
      <c r="T7" s="468"/>
      <c r="U7" s="468"/>
      <c r="V7" s="469"/>
      <c r="W7" s="459" t="str">
        <f>VLOOKUP(VLOOKUP(M7,'_Tabellen und Listen'!$A$145:$B$163,2,FALSE),'2. Fähigkeiten'!$A$16:$M$121,13,FALSE)&amp;IF(VLOOKUP("Makel "&amp;VLOOKUP(VLOOKUP(M7,'_Tabellen und Listen'!$A$145:$B$163,2,FALSE),'_Tabellen und Listen'!$B$145:$C$163,2,FALSE),'4. Nachteile'!$A$36:$B$54,2,FALSE)="ja"," [-1W durch Makel]","")</f>
        <v/>
      </c>
      <c r="X7" s="460"/>
      <c r="Y7" s="80"/>
    </row>
    <row r="8" spans="1:25" ht="44.1" customHeight="1" thickTop="1" thickBot="1" x14ac:dyDescent="0.3">
      <c r="A8" s="80"/>
      <c r="B8" s="71">
        <f t="shared" ref="B8:B15" si="0">+B7+1</f>
        <v>3</v>
      </c>
      <c r="C8" s="237">
        <f>VLOOKUP(VLOOKUP(B8,'_Tabellen und Listen'!$A$145:$B$163,2,FALSE),'3. Vorteile'!$A$265:$D$283,2,FALSE)</f>
        <v>2</v>
      </c>
      <c r="D8" s="69" t="s">
        <v>168</v>
      </c>
      <c r="E8" s="413" t="str">
        <f>VLOOKUP(VLOOKUP(B8,'_Tabellen und Listen'!$A$145:$B$163,2,FALSE),'2. Fähigkeiten'!$A$16:$M$121,13,FALSE)&amp;IF(VLOOKUP("Makel "&amp;VLOOKUP(VLOOKUP(B8,'_Tabellen und Listen'!$A$145:$B$163,2,FALSE),'_Tabellen und Listen'!$B$145:$C$163,2,FALSE),'4. Nachteile'!$A$36:$B$54,2,FALSE)="ja"," [-1W durch Makel]","")</f>
        <v/>
      </c>
      <c r="F8" s="413"/>
      <c r="G8" s="413"/>
      <c r="H8" s="413"/>
      <c r="I8" s="413"/>
      <c r="J8" s="413"/>
      <c r="K8" s="413"/>
      <c r="L8" s="413"/>
      <c r="M8" s="73">
        <f t="shared" ref="M8:M14" si="1">+M7+1</f>
        <v>13</v>
      </c>
      <c r="N8" s="237">
        <f>VLOOKUP(VLOOKUP(M8,'_Tabellen und Listen'!$A$145:$B$163,2,FALSE),'3. Vorteile'!$A$265:$D$283,2,FALSE)</f>
        <v>2</v>
      </c>
      <c r="O8" s="467" t="s">
        <v>174</v>
      </c>
      <c r="P8" s="468"/>
      <c r="Q8" s="468"/>
      <c r="R8" s="468"/>
      <c r="S8" s="468"/>
      <c r="T8" s="468"/>
      <c r="U8" s="468"/>
      <c r="V8" s="469"/>
      <c r="W8" s="459" t="str">
        <f>VLOOKUP(VLOOKUP(M8,'_Tabellen und Listen'!$A$145:$B$163,2,FALSE),'2. Fähigkeiten'!$A$16:$M$121,13,FALSE)&amp;IF(VLOOKUP("Makel "&amp;VLOOKUP(VLOOKUP(M8,'_Tabellen und Listen'!$A$145:$B$163,2,FALSE),'_Tabellen und Listen'!$B$145:$C$163,2,FALSE),'4. Nachteile'!$A$36:$B$54,2,FALSE)="ja"," [-1W durch Makel]","")</f>
        <v/>
      </c>
      <c r="X8" s="460"/>
      <c r="Y8" s="80"/>
    </row>
    <row r="9" spans="1:25" ht="44.1" customHeight="1" thickTop="1" thickBot="1" x14ac:dyDescent="0.3">
      <c r="A9" s="80"/>
      <c r="B9" s="71">
        <f t="shared" si="0"/>
        <v>4</v>
      </c>
      <c r="C9" s="237">
        <f>VLOOKUP(VLOOKUP(B9,'_Tabellen und Listen'!$A$145:$B$163,2,FALSE),'3. Vorteile'!$A$265:$D$283,2,FALSE)</f>
        <v>2</v>
      </c>
      <c r="D9" s="69" t="s">
        <v>26</v>
      </c>
      <c r="E9" s="413" t="str">
        <f>VLOOKUP(VLOOKUP(B9,'_Tabellen und Listen'!$A$145:$B$163,2,FALSE),'2. Fähigkeiten'!$A$16:$M$121,13,FALSE)&amp;IF(VLOOKUP("Makel "&amp;VLOOKUP(VLOOKUP(B9,'_Tabellen und Listen'!$A$145:$B$163,2,FALSE),'_Tabellen und Listen'!$B$145:$C$163,2,FALSE),'4. Nachteile'!$A$36:$B$54,2,FALSE)="ja"," [-1W durch Makel]","")&amp;IF(X31&lt;0," [gerüstet "&amp;X31&amp;" Rüstungsabzug]","")</f>
        <v/>
      </c>
      <c r="F9" s="413"/>
      <c r="G9" s="413"/>
      <c r="H9" s="413"/>
      <c r="I9" s="413"/>
      <c r="J9" s="413"/>
      <c r="K9" s="413"/>
      <c r="L9" s="413"/>
      <c r="M9" s="73">
        <f t="shared" si="1"/>
        <v>14</v>
      </c>
      <c r="N9" s="237">
        <f>VLOOKUP(VLOOKUP(M9,'_Tabellen und Listen'!$A$145:$B$163,2,FALSE),'3. Vorteile'!$A$265:$D$283,2,FALSE)</f>
        <v>2</v>
      </c>
      <c r="O9" s="467" t="s">
        <v>175</v>
      </c>
      <c r="P9" s="468"/>
      <c r="Q9" s="468"/>
      <c r="R9" s="468"/>
      <c r="S9" s="468"/>
      <c r="T9" s="468"/>
      <c r="U9" s="468"/>
      <c r="V9" s="469"/>
      <c r="W9" s="459" t="str">
        <f>VLOOKUP(VLOOKUP(M9,'_Tabellen und Listen'!$A$145:$B$163,2,FALSE),'2. Fähigkeiten'!$A$16:$M$121,13,FALSE)&amp;IF(VLOOKUP("Makel "&amp;VLOOKUP(VLOOKUP(M9,'_Tabellen und Listen'!$A$145:$B$163,2,FALSE),'_Tabellen und Listen'!$B$145:$C$163,2,FALSE),'4. Nachteile'!$A$36:$B$54,2,FALSE)="ja"," [-1W durch Makel]","")</f>
        <v/>
      </c>
      <c r="X9" s="460"/>
      <c r="Y9" s="80"/>
    </row>
    <row r="10" spans="1:25" ht="44.1" customHeight="1" thickTop="1" thickBot="1" x14ac:dyDescent="0.3">
      <c r="A10" s="80"/>
      <c r="B10" s="71">
        <f t="shared" si="0"/>
        <v>5</v>
      </c>
      <c r="C10" s="237">
        <f>VLOOKUP(VLOOKUP(B10,'_Tabellen und Listen'!$A$145:$B$163,2,FALSE),'3. Vorteile'!$A$265:$D$283,2,FALSE)</f>
        <v>2</v>
      </c>
      <c r="D10" s="69" t="s">
        <v>169</v>
      </c>
      <c r="E10" s="413" t="str">
        <f>VLOOKUP(VLOOKUP(B10,'_Tabellen und Listen'!$A$145:$B$163,2,FALSE),'2. Fähigkeiten'!$A$16:$M$121,13,FALSE)&amp;IF(VLOOKUP("Makel "&amp;VLOOKUP(VLOOKUP(B10,'_Tabellen und Listen'!$A$145:$B$163,2,FALSE),'_Tabellen und Listen'!$B$145:$C$163,2,FALSE),'4. Nachteile'!$A$36:$B$54,2,FALSE)="ja"," [-1W durch Makel]","")</f>
        <v/>
      </c>
      <c r="F10" s="413"/>
      <c r="G10" s="413"/>
      <c r="H10" s="413"/>
      <c r="I10" s="413"/>
      <c r="J10" s="413"/>
      <c r="K10" s="413"/>
      <c r="L10" s="413"/>
      <c r="M10" s="73">
        <f t="shared" si="1"/>
        <v>15</v>
      </c>
      <c r="N10" s="237">
        <f>VLOOKUP(VLOOKUP(M10,'_Tabellen und Listen'!$A$145:$B$163,2,FALSE),'3. Vorteile'!$A$265:$D$283,2,FALSE)</f>
        <v>2</v>
      </c>
      <c r="O10" s="467" t="s">
        <v>176</v>
      </c>
      <c r="P10" s="468"/>
      <c r="Q10" s="468"/>
      <c r="R10" s="468"/>
      <c r="S10" s="468"/>
      <c r="T10" s="468"/>
      <c r="U10" s="468"/>
      <c r="V10" s="469"/>
      <c r="W10" s="459" t="str">
        <f>VLOOKUP(VLOOKUP(M10,'_Tabellen und Listen'!$A$145:$B$163,2,FALSE),'2. Fähigkeiten'!$A$16:$M$121,13,FALSE)&amp;IF(VLOOKUP("Makel "&amp;VLOOKUP(VLOOKUP(M10,'_Tabellen und Listen'!$A$145:$B$163,2,FALSE),'_Tabellen und Listen'!$B$145:$C$163,2,FALSE),'4. Nachteile'!$A$36:$B$54,2,FALSE)="ja"," [-1W durch Makel]","")</f>
        <v/>
      </c>
      <c r="X10" s="460"/>
      <c r="Y10" s="80"/>
    </row>
    <row r="11" spans="1:25" ht="44.1" customHeight="1" thickTop="1" thickBot="1" x14ac:dyDescent="0.3">
      <c r="A11" s="80"/>
      <c r="B11" s="71">
        <f t="shared" si="0"/>
        <v>6</v>
      </c>
      <c r="C11" s="237">
        <f>VLOOKUP(VLOOKUP(B11,'_Tabellen und Listen'!$A$145:$B$163,2,FALSE),'3. Vorteile'!$A$265:$D$283,2,FALSE)</f>
        <v>2</v>
      </c>
      <c r="D11" s="69" t="s">
        <v>27</v>
      </c>
      <c r="E11" s="413" t="str">
        <f>VLOOKUP(VLOOKUP(B11,'_Tabellen und Listen'!$A$145:$B$163,2,FALSE),'2. Fähigkeiten'!$A$16:$M$121,13,FALSE)&amp;IF(VLOOKUP("Makel "&amp;VLOOKUP(VLOOKUP(B11,'_Tabellen und Listen'!$A$145:$B$163,2,FALSE),'_Tabellen und Listen'!$B$145:$C$163,2,FALSE),'4. Nachteile'!$A$36:$B$54,2,FALSE)="ja"," [-1W durch Makel]","")</f>
        <v/>
      </c>
      <c r="F11" s="413"/>
      <c r="G11" s="413"/>
      <c r="H11" s="413"/>
      <c r="I11" s="413"/>
      <c r="J11" s="413"/>
      <c r="K11" s="413"/>
      <c r="L11" s="413"/>
      <c r="M11" s="73">
        <f t="shared" si="1"/>
        <v>16</v>
      </c>
      <c r="N11" s="237">
        <f>VLOOKUP(VLOOKUP(M11,'_Tabellen und Listen'!$A$145:$B$163,2,FALSE),'3. Vorteile'!$A$265:$D$283,2,FALSE)</f>
        <v>2</v>
      </c>
      <c r="O11" s="467" t="s">
        <v>337</v>
      </c>
      <c r="P11" s="468"/>
      <c r="Q11" s="468"/>
      <c r="R11" s="468"/>
      <c r="S11" s="468"/>
      <c r="T11" s="468"/>
      <c r="U11" s="468"/>
      <c r="V11" s="469"/>
      <c r="W11" s="459" t="str">
        <f>VLOOKUP(VLOOKUP(M11,'_Tabellen und Listen'!$A$145:$B$163,2,FALSE),'2. Fähigkeiten'!$A$16:$M$121,13,FALSE)&amp;IF(VLOOKUP("Makel "&amp;VLOOKUP(VLOOKUP(M11,'_Tabellen und Listen'!$A$145:$B$163,2,FALSE),'_Tabellen und Listen'!$B$145:$C$163,2,FALSE),'4. Nachteile'!$A$36:$B$54,2,FALSE)="ja"," [-1W durch Makel]","")</f>
        <v/>
      </c>
      <c r="X11" s="460"/>
      <c r="Y11" s="80"/>
    </row>
    <row r="12" spans="1:25" ht="44.1" customHeight="1" thickTop="1" thickBot="1" x14ac:dyDescent="0.3">
      <c r="A12" s="80"/>
      <c r="B12" s="71">
        <f t="shared" si="0"/>
        <v>7</v>
      </c>
      <c r="C12" s="237">
        <f>VLOOKUP(VLOOKUP(B12,'_Tabellen und Listen'!$A$145:$B$163,2,FALSE),'3. Vorteile'!$A$265:$D$283,2,FALSE)</f>
        <v>2</v>
      </c>
      <c r="D12" s="69" t="s">
        <v>336</v>
      </c>
      <c r="E12" s="413" t="str">
        <f>VLOOKUP(VLOOKUP(B12,'_Tabellen und Listen'!$A$145:$B$163,2,FALSE),'2. Fähigkeiten'!$A$16:$M$121,13,FALSE)&amp;IF(VLOOKUP("Makel "&amp;VLOOKUP(VLOOKUP(B12,'_Tabellen und Listen'!$A$145:$B$163,2,FALSE),'_Tabellen und Listen'!$B$145:$C$163,2,FALSE),'4. Nachteile'!$A$36:$B$54,2,FALSE)="ja"," [-1W durch Makel]","")</f>
        <v/>
      </c>
      <c r="F12" s="413"/>
      <c r="G12" s="413"/>
      <c r="H12" s="413"/>
      <c r="I12" s="413"/>
      <c r="J12" s="413"/>
      <c r="K12" s="413"/>
      <c r="L12" s="413"/>
      <c r="M12" s="73">
        <f t="shared" si="1"/>
        <v>17</v>
      </c>
      <c r="N12" s="237">
        <f>VLOOKUP(VLOOKUP(M12,'_Tabellen und Listen'!$A$145:$B$163,2,FALSE),'3. Vorteile'!$A$265:$D$283,2,FALSE)</f>
        <v>2</v>
      </c>
      <c r="O12" s="467" t="s">
        <v>338</v>
      </c>
      <c r="P12" s="468"/>
      <c r="Q12" s="468"/>
      <c r="R12" s="468"/>
      <c r="S12" s="468"/>
      <c r="T12" s="468"/>
      <c r="U12" s="468"/>
      <c r="V12" s="469"/>
      <c r="W12" s="459" t="str">
        <f>VLOOKUP(VLOOKUP(M12,'_Tabellen und Listen'!$A$145:$B$163,2,FALSE),'2. Fähigkeiten'!$A$16:$M$121,13,FALSE)&amp;IF(VLOOKUP("Makel "&amp;VLOOKUP(VLOOKUP(M12,'_Tabellen und Listen'!$A$145:$B$163,2,FALSE),'_Tabellen und Listen'!$B$145:$C$163,2,FALSE),'4. Nachteile'!$A$36:$B$54,2,FALSE)="ja"," [-1W durch Makel]","")</f>
        <v/>
      </c>
      <c r="X12" s="460"/>
      <c r="Y12" s="80"/>
    </row>
    <row r="13" spans="1:25" ht="44.1" customHeight="1" thickTop="1" thickBot="1" x14ac:dyDescent="0.3">
      <c r="A13" s="80"/>
      <c r="B13" s="71">
        <f t="shared" si="0"/>
        <v>8</v>
      </c>
      <c r="C13" s="237">
        <f>VLOOKUP(VLOOKUP(B13,'_Tabellen und Listen'!$A$145:$B$163,2,FALSE),'3. Vorteile'!$A$265:$D$283,2,FALSE)</f>
        <v>2</v>
      </c>
      <c r="D13" s="69" t="s">
        <v>171</v>
      </c>
      <c r="E13" s="413" t="str">
        <f>VLOOKUP(VLOOKUP(B13,'_Tabellen und Listen'!$A$145:$B$163,2,FALSE),'2. Fähigkeiten'!$A$16:$M$121,13,FALSE)&amp;IF(VLOOKUP("Makel "&amp;VLOOKUP(VLOOKUP(B13,'_Tabellen und Listen'!$A$145:$B$163,2,FALSE),'_Tabellen und Listen'!$B$145:$C$163,2,FALSE),'4. Nachteile'!$A$36:$B$54,2,FALSE)="ja"," [-1W durch Makel]","")</f>
        <v/>
      </c>
      <c r="F13" s="413"/>
      <c r="G13" s="413"/>
      <c r="H13" s="413"/>
      <c r="I13" s="413"/>
      <c r="J13" s="413"/>
      <c r="K13" s="413"/>
      <c r="L13" s="413"/>
      <c r="M13" s="73">
        <f t="shared" si="1"/>
        <v>18</v>
      </c>
      <c r="N13" s="237">
        <f>VLOOKUP(VLOOKUP(M13,'_Tabellen und Listen'!$A$145:$B$163,2,FALSE),'3. Vorteile'!$A$265:$D$283,2,FALSE)</f>
        <v>2</v>
      </c>
      <c r="O13" s="467" t="s">
        <v>178</v>
      </c>
      <c r="P13" s="468"/>
      <c r="Q13" s="468"/>
      <c r="R13" s="468"/>
      <c r="S13" s="468"/>
      <c r="T13" s="468"/>
      <c r="U13" s="468"/>
      <c r="V13" s="469"/>
      <c r="W13" s="459" t="str">
        <f>VLOOKUP(VLOOKUP(M13,'_Tabellen und Listen'!$A$145:$B$163,2,FALSE),'2. Fähigkeiten'!$A$16:$M$121,13,FALSE)&amp;IF(VLOOKUP("Makel "&amp;VLOOKUP(VLOOKUP(M13,'_Tabellen und Listen'!$A$145:$B$163,2,FALSE),'_Tabellen und Listen'!$B$145:$C$163,2,FALSE),'4. Nachteile'!$A$36:$B$54,2,FALSE)="ja"," [-1W durch Makel]","")</f>
        <v/>
      </c>
      <c r="X13" s="460"/>
      <c r="Y13" s="80"/>
    </row>
    <row r="14" spans="1:25" ht="44.1" customHeight="1" thickTop="1" thickBot="1" x14ac:dyDescent="0.3">
      <c r="A14" s="80"/>
      <c r="B14" s="71">
        <f t="shared" si="0"/>
        <v>9</v>
      </c>
      <c r="C14" s="237">
        <f>VLOOKUP(VLOOKUP(B14,'_Tabellen und Listen'!$A$145:$B$163,2,FALSE),'3. Vorteile'!$A$265:$D$283,2,FALSE)</f>
        <v>2</v>
      </c>
      <c r="D14" s="69" t="s">
        <v>335</v>
      </c>
      <c r="E14" s="413" t="str">
        <f>VLOOKUP(VLOOKUP(B14,'_Tabellen und Listen'!$A$145:$B$163,2,FALSE),'2. Fähigkeiten'!$A$16:$M$121,13,FALSE)&amp;IF(VLOOKUP("Makel "&amp;VLOOKUP(VLOOKUP(B14,'_Tabellen und Listen'!$A$145:$B$163,2,FALSE),'_Tabellen und Listen'!$B$145:$C$163,2,FALSE),'4. Nachteile'!$A$36:$B$54,2,FALSE)="ja"," [-1W durch Makel]","")</f>
        <v/>
      </c>
      <c r="F14" s="413"/>
      <c r="G14" s="413"/>
      <c r="H14" s="413"/>
      <c r="I14" s="413"/>
      <c r="J14" s="413"/>
      <c r="K14" s="413"/>
      <c r="L14" s="413"/>
      <c r="M14" s="73">
        <f t="shared" si="1"/>
        <v>19</v>
      </c>
      <c r="N14" s="237">
        <f>VLOOKUP(VLOOKUP(M14,'_Tabellen und Listen'!$A$145:$B$163,2,FALSE),'3. Vorteile'!$A$265:$D$283,2,FALSE)</f>
        <v>2</v>
      </c>
      <c r="O14" s="467" t="s">
        <v>95</v>
      </c>
      <c r="P14" s="468"/>
      <c r="Q14" s="468"/>
      <c r="R14" s="468"/>
      <c r="S14" s="468"/>
      <c r="T14" s="468"/>
      <c r="U14" s="468"/>
      <c r="V14" s="469"/>
      <c r="W14" s="459" t="str">
        <f>VLOOKUP(VLOOKUP(M14,'_Tabellen und Listen'!$A$145:$B$163,2,FALSE),'2. Fähigkeiten'!$A$16:$M$121,13,FALSE)&amp;IF(VLOOKUP("Makel "&amp;VLOOKUP(VLOOKUP(M14,'_Tabellen und Listen'!$A$145:$B$163,2,FALSE),'_Tabellen und Listen'!$B$145:$C$163,2,FALSE),'4. Nachteile'!$A$36:$B$54,2,FALSE)="ja"," [-1W durch Makel]","")</f>
        <v/>
      </c>
      <c r="X14" s="460"/>
      <c r="Y14" s="80"/>
    </row>
    <row r="15" spans="1:25" ht="44.1" customHeight="1" thickTop="1" thickBot="1" x14ac:dyDescent="0.3">
      <c r="A15" s="80"/>
      <c r="B15" s="71">
        <f t="shared" si="0"/>
        <v>10</v>
      </c>
      <c r="C15" s="262">
        <f>VLOOKUP(VLOOKUP(B15,'_Tabellen und Listen'!$A$145:$B$163,2,FALSE),'3. Vorteile'!$A$265:$D$283,2,FALSE)</f>
        <v>2</v>
      </c>
      <c r="D15" s="69" t="s">
        <v>156</v>
      </c>
      <c r="E15" s="413" t="str">
        <f>VLOOKUP(VLOOKUP(B15,'_Tabellen und Listen'!$A$145:$B$163,2,FALSE),'2. Fähigkeiten'!$A$16:$M$121,13,FALSE)&amp;IF(VLOOKUP("Makel "&amp;VLOOKUP(VLOOKUP(B15,'_Tabellen und Listen'!$A$145:$B$163,2,FALSE),'_Tabellen und Listen'!$B$145:$C$163,2,FALSE),'4. Nachteile'!$A$36:$B$54,2,FALSE)="ja"," [-1W durch Makel]","")</f>
        <v>Gemeine Zunge 2</v>
      </c>
      <c r="F15" s="413"/>
      <c r="G15" s="413"/>
      <c r="H15" s="413"/>
      <c r="I15" s="413"/>
      <c r="J15" s="413"/>
      <c r="K15" s="413"/>
      <c r="L15" s="413"/>
      <c r="M15" s="413"/>
      <c r="N15" s="413"/>
      <c r="O15" s="413"/>
      <c r="P15" s="413"/>
      <c r="Q15" s="413"/>
      <c r="R15" s="413"/>
      <c r="S15" s="413"/>
      <c r="T15" s="413"/>
      <c r="U15" s="413"/>
      <c r="V15" s="413"/>
      <c r="W15" s="413"/>
      <c r="X15" s="413"/>
      <c r="Y15" s="80"/>
    </row>
    <row r="16" spans="1:25" ht="44.1" customHeight="1" thickTop="1" thickBot="1" x14ac:dyDescent="0.3">
      <c r="A16" s="80"/>
      <c r="C16" s="454" t="s">
        <v>340</v>
      </c>
      <c r="D16" s="455"/>
      <c r="E16" s="455"/>
      <c r="F16" s="455"/>
      <c r="G16" s="455"/>
      <c r="H16" s="455"/>
      <c r="I16" s="455"/>
      <c r="J16" s="455"/>
      <c r="K16" s="455"/>
      <c r="L16" s="439"/>
      <c r="M16" s="74"/>
      <c r="N16" s="454" t="s">
        <v>341</v>
      </c>
      <c r="O16" s="455"/>
      <c r="P16" s="455"/>
      <c r="Q16" s="455"/>
      <c r="R16" s="455"/>
      <c r="S16" s="455"/>
      <c r="T16" s="455"/>
      <c r="U16" s="455"/>
      <c r="V16" s="439"/>
      <c r="W16" s="414" t="s">
        <v>27</v>
      </c>
      <c r="X16" s="414"/>
      <c r="Y16" s="80"/>
    </row>
    <row r="17" spans="1:27" ht="24" customHeight="1" thickTop="1" thickBot="1" x14ac:dyDescent="0.3">
      <c r="A17" s="80"/>
      <c r="C17" s="403" t="str">
        <f>IF('3. Vorteile'!M257&lt;&gt;"","Vorteile: ","")&amp;IFERROR(RIGHT('3. Vorteile'!M257,LEN('3. Vorteile'!M257)-2),"")&amp;IF(AND('3. Vorteile'!M257&lt;&gt;"",'4. Nachteile'!M74&lt;&gt;""),"; ","")&amp;IF('4. Nachteile'!M74&lt;&gt;"","Nachteile: ","")&amp;IFERROR(RIGHT('4. Nachteile'!M74,LEN('4. Nachteile'!M74)-2),"")</f>
        <v/>
      </c>
      <c r="D17" s="403"/>
      <c r="E17" s="403"/>
      <c r="F17" s="403"/>
      <c r="G17" s="403"/>
      <c r="H17" s="403"/>
      <c r="I17" s="403"/>
      <c r="J17" s="403"/>
      <c r="K17" s="403"/>
      <c r="L17" s="403"/>
      <c r="M17" s="75"/>
      <c r="N17" s="456" t="s">
        <v>342</v>
      </c>
      <c r="O17" s="456"/>
      <c r="P17" s="456"/>
      <c r="Q17" s="456"/>
      <c r="R17" s="456"/>
      <c r="S17" s="456"/>
      <c r="T17" s="456"/>
      <c r="U17" s="456"/>
      <c r="V17" s="456"/>
      <c r="W17" s="456" t="s">
        <v>343</v>
      </c>
      <c r="X17" s="456"/>
      <c r="Y17" s="80"/>
    </row>
    <row r="18" spans="1:27" ht="50.1" customHeight="1" thickTop="1" thickBot="1" x14ac:dyDescent="0.3">
      <c r="A18" s="80"/>
      <c r="C18" s="403"/>
      <c r="D18" s="403"/>
      <c r="E18" s="403"/>
      <c r="F18" s="403"/>
      <c r="G18" s="403"/>
      <c r="H18" s="403"/>
      <c r="I18" s="403"/>
      <c r="J18" s="403"/>
      <c r="K18" s="403"/>
      <c r="L18" s="403"/>
      <c r="M18" s="75"/>
      <c r="N18" s="456">
        <f>C13+N6+N12</f>
        <v>6</v>
      </c>
      <c r="O18" s="456"/>
      <c r="P18" s="456"/>
      <c r="Q18" s="456"/>
      <c r="R18" s="456"/>
      <c r="S18" s="456"/>
      <c r="T18" s="456"/>
      <c r="U18" s="456"/>
      <c r="V18" s="456"/>
      <c r="W18" s="480" t="str">
        <f>"ungerüstet "&amp;C6+C9+N12&amp;", gerüstet "&amp;C6+C9+N12+X31&amp;" zzgl. Abwehrboni"</f>
        <v>ungerüstet 6, gerüstet 6 zzgl. Abwehrboni</v>
      </c>
      <c r="X18" s="480"/>
      <c r="Y18" s="80"/>
      <c r="Z18" s="212" t="s">
        <v>778</v>
      </c>
    </row>
    <row r="19" spans="1:27" ht="49.5" customHeight="1" thickTop="1" thickBot="1" x14ac:dyDescent="0.3">
      <c r="A19" s="80"/>
      <c r="C19" s="403"/>
      <c r="D19" s="403"/>
      <c r="E19" s="403"/>
      <c r="F19" s="403"/>
      <c r="G19" s="403"/>
      <c r="H19" s="403"/>
      <c r="I19" s="403"/>
      <c r="J19" s="403"/>
      <c r="K19" s="403"/>
      <c r="L19" s="403"/>
      <c r="M19" s="75"/>
      <c r="N19" s="481" t="s">
        <v>879</v>
      </c>
      <c r="O19" s="481"/>
      <c r="P19" s="481"/>
      <c r="Q19" s="481"/>
      <c r="R19" s="481"/>
      <c r="S19" s="481"/>
      <c r="T19" s="481"/>
      <c r="U19" s="481"/>
      <c r="V19" s="481"/>
      <c r="W19" s="481" t="s">
        <v>878</v>
      </c>
      <c r="X19" s="481"/>
      <c r="Y19" s="80"/>
    </row>
    <row r="20" spans="1:27" ht="24" customHeight="1" thickTop="1" thickBot="1" x14ac:dyDescent="0.3">
      <c r="A20" s="80"/>
      <c r="C20" s="403"/>
      <c r="D20" s="403"/>
      <c r="E20" s="403"/>
      <c r="F20" s="403"/>
      <c r="G20" s="403"/>
      <c r="H20" s="403"/>
      <c r="I20" s="403"/>
      <c r="J20" s="403"/>
      <c r="K20" s="403"/>
      <c r="L20" s="403"/>
      <c r="M20" s="75"/>
      <c r="N20" s="456" t="s">
        <v>344</v>
      </c>
      <c r="O20" s="456"/>
      <c r="P20" s="456"/>
      <c r="Q20" s="456"/>
      <c r="R20" s="456"/>
      <c r="S20" s="456"/>
      <c r="T20" s="456"/>
      <c r="U20" s="456"/>
      <c r="V20" s="456"/>
      <c r="W20" s="456" t="s">
        <v>345</v>
      </c>
      <c r="X20" s="456"/>
      <c r="Y20" s="80"/>
    </row>
    <row r="21" spans="1:27" ht="11.25" customHeight="1" thickTop="1" thickBot="1" x14ac:dyDescent="0.3">
      <c r="A21" s="80"/>
      <c r="C21" s="403"/>
      <c r="D21" s="403"/>
      <c r="E21" s="457"/>
      <c r="F21" s="457"/>
      <c r="G21" s="457"/>
      <c r="H21" s="457"/>
      <c r="I21" s="457"/>
      <c r="J21" s="457"/>
      <c r="K21" s="457"/>
      <c r="L21" s="457"/>
      <c r="M21" s="76"/>
      <c r="N21" s="461">
        <f>N13*3</f>
        <v>6</v>
      </c>
      <c r="O21" s="473"/>
      <c r="P21" s="473"/>
      <c r="Q21" s="473"/>
      <c r="R21" s="473"/>
      <c r="S21" s="473"/>
      <c r="T21" s="473"/>
      <c r="U21" s="473"/>
      <c r="V21" s="462"/>
      <c r="W21" s="461">
        <f>C7*3-IF('4. Nachteile'!B33="ja",2,0)</f>
        <v>6</v>
      </c>
      <c r="X21" s="462"/>
      <c r="Y21" s="80"/>
    </row>
    <row r="22" spans="1:27" ht="18" customHeight="1" thickTop="1" thickBot="1" x14ac:dyDescent="0.3">
      <c r="A22" s="80"/>
      <c r="C22" s="411" t="s">
        <v>261</v>
      </c>
      <c r="D22" s="458"/>
      <c r="E22" s="103">
        <v>1</v>
      </c>
      <c r="F22" s="104">
        <v>2</v>
      </c>
      <c r="G22" s="104">
        <v>3</v>
      </c>
      <c r="H22" s="104">
        <v>4</v>
      </c>
      <c r="I22" s="104">
        <v>5</v>
      </c>
      <c r="J22" s="104">
        <v>6</v>
      </c>
      <c r="K22" s="104">
        <v>7</v>
      </c>
      <c r="L22" s="105">
        <v>8</v>
      </c>
      <c r="M22" s="77"/>
      <c r="N22" s="463"/>
      <c r="O22" s="474"/>
      <c r="P22" s="474"/>
      <c r="Q22" s="474"/>
      <c r="R22" s="474"/>
      <c r="S22" s="474"/>
      <c r="T22" s="474"/>
      <c r="U22" s="474"/>
      <c r="V22" s="464"/>
      <c r="W22" s="463"/>
      <c r="X22" s="464"/>
      <c r="Y22" s="80"/>
    </row>
    <row r="23" spans="1:27" ht="23.1" customHeight="1" thickTop="1" thickBot="1" x14ac:dyDescent="0.3">
      <c r="A23" s="80"/>
      <c r="C23" s="411"/>
      <c r="D23" s="458"/>
      <c r="E23" s="102" t="str">
        <f>IF('3. Vorteile'!$B9&gt;=E22,"X","")</f>
        <v>X</v>
      </c>
      <c r="F23" s="106" t="str">
        <f>IF('3. Vorteile'!$B9&gt;=F22,"X","")</f>
        <v>X</v>
      </c>
      <c r="G23" s="106" t="str">
        <f>IF('3. Vorteile'!$B9&gt;=G22,"X","")</f>
        <v>X</v>
      </c>
      <c r="H23" s="106" t="str">
        <f>IF('3. Vorteile'!$B9&gt;=H22,"X","")</f>
        <v/>
      </c>
      <c r="I23" s="106" t="str">
        <f>IF('3. Vorteile'!$B9&gt;=I22,"X","")</f>
        <v/>
      </c>
      <c r="J23" s="106" t="str">
        <f>IF('3. Vorteile'!$B9&gt;=J22,"X","")</f>
        <v/>
      </c>
      <c r="K23" s="106" t="str">
        <f>IF('3. Vorteile'!$B9&gt;=K22,"X","")</f>
        <v/>
      </c>
      <c r="L23" s="107" t="str">
        <f>IF('3. Vorteile'!$B9&gt;=L22,"X","")</f>
        <v/>
      </c>
      <c r="M23" s="79"/>
      <c r="N23" s="465"/>
      <c r="O23" s="475"/>
      <c r="P23" s="475"/>
      <c r="Q23" s="475"/>
      <c r="R23" s="475"/>
      <c r="S23" s="475"/>
      <c r="T23" s="475"/>
      <c r="U23" s="475"/>
      <c r="V23" s="466"/>
      <c r="W23" s="465"/>
      <c r="X23" s="466"/>
      <c r="Y23" s="80"/>
    </row>
    <row r="24" spans="1:27" ht="18" customHeight="1" thickTop="1" thickBot="1" x14ac:dyDescent="0.3">
      <c r="A24" s="80"/>
      <c r="C24" s="411"/>
      <c r="D24" s="458"/>
      <c r="E24" s="470"/>
      <c r="F24" s="471"/>
      <c r="G24" s="471"/>
      <c r="H24" s="471"/>
      <c r="I24" s="471"/>
      <c r="J24" s="471"/>
      <c r="K24" s="471"/>
      <c r="L24" s="472"/>
      <c r="M24" s="78"/>
      <c r="N24" s="478" t="s">
        <v>880</v>
      </c>
      <c r="O24" s="478"/>
      <c r="P24" s="478"/>
      <c r="Q24" s="478"/>
      <c r="R24" s="478"/>
      <c r="S24" s="478"/>
      <c r="T24" s="478"/>
      <c r="U24" s="478"/>
      <c r="V24" s="479"/>
      <c r="W24" s="479" t="s">
        <v>881</v>
      </c>
      <c r="X24" s="479"/>
      <c r="Y24" s="80"/>
    </row>
    <row r="25" spans="1:27" ht="44.1" customHeight="1" thickTop="1" thickBot="1" x14ac:dyDescent="0.3">
      <c r="A25" s="80"/>
      <c r="C25" s="411" t="s">
        <v>346</v>
      </c>
      <c r="D25" s="411"/>
      <c r="E25" s="412"/>
      <c r="F25" s="412"/>
      <c r="G25" s="412"/>
      <c r="H25" s="412"/>
      <c r="I25" s="412"/>
      <c r="J25" s="412"/>
      <c r="K25" s="412"/>
      <c r="L25" s="412"/>
      <c r="M25" s="411"/>
      <c r="N25" s="411"/>
      <c r="O25" s="411"/>
      <c r="P25" s="411"/>
      <c r="Q25" s="411"/>
      <c r="R25" s="411"/>
      <c r="S25" s="411"/>
      <c r="T25" s="411"/>
      <c r="U25" s="411"/>
      <c r="V25" s="411"/>
      <c r="W25" s="414" t="s">
        <v>347</v>
      </c>
      <c r="X25" s="414"/>
      <c r="Y25" s="80"/>
      <c r="Z25" s="66" t="s">
        <v>937</v>
      </c>
      <c r="AA25" s="66"/>
    </row>
    <row r="26" spans="1:27" ht="46.5" customHeight="1" thickTop="1" thickBot="1" x14ac:dyDescent="0.3">
      <c r="A26" s="80"/>
      <c r="C26" s="256" t="s">
        <v>889</v>
      </c>
      <c r="D26" s="452" t="s">
        <v>890</v>
      </c>
      <c r="E26" s="453"/>
      <c r="F26" s="436" t="s">
        <v>348</v>
      </c>
      <c r="G26" s="436"/>
      <c r="H26" s="436"/>
      <c r="I26" s="436"/>
      <c r="J26" s="437" t="s">
        <v>888</v>
      </c>
      <c r="K26" s="436"/>
      <c r="L26" s="436"/>
      <c r="M26" s="436"/>
      <c r="N26" s="436"/>
      <c r="O26" s="436"/>
      <c r="P26" s="436"/>
      <c r="Q26" s="436"/>
      <c r="R26" s="436"/>
      <c r="S26" s="436"/>
      <c r="T26" s="436"/>
      <c r="U26" s="436"/>
      <c r="V26" s="438"/>
      <c r="W26" s="244" t="s">
        <v>751</v>
      </c>
      <c r="X26" s="232" t="str">
        <f>IFERROR("Rüstungswert "&amp;VLOOKUP(W26,'_Tabellen und Listen'!A315:B329,2,FALSE)&amp;", Rüstungsabzug "&amp;VLOOKUP(W26,'_Tabellen und Listen'!A315:C329,3,FALSE)&amp;", Last "&amp;VLOOKUP(W26,'_Tabellen und Listen'!A315:D329,4,FALSE),"")</f>
        <v>Rüstungswert 1, Rüstungsabzug 0, Last 1</v>
      </c>
      <c r="Y26" s="80"/>
      <c r="Z26" s="20" t="str">
        <f>W26</f>
        <v>Roben, Gewänder</v>
      </c>
    </row>
    <row r="27" spans="1:27" ht="43.9" customHeight="1" thickTop="1" thickBot="1" x14ac:dyDescent="0.3">
      <c r="A27" s="80"/>
      <c r="C27" s="255" t="s">
        <v>893</v>
      </c>
      <c r="D27" s="387" t="s">
        <v>775</v>
      </c>
      <c r="E27" s="388"/>
      <c r="F27" s="425" t="str">
        <f>IF(D27&lt;&gt;"",VLOOKUP(D27,'_Tabellen und Listen'!$A$342:$I$400,9,FALSE)&amp;", "&amp;VLOOKUP(D27,'_Tabellen und Listen'!$A$342:$B$400,2,FALSE)&amp;IF(VLOOKUP(D27,'_Tabellen und Listen'!$A$342:$C$400,3,FALSE)&gt;0," "&amp;VLOOKUP(D27,'_Tabellen und Listen'!$A$342:$C$400,3,FALSE)&amp;"B","")&amp;", daraus resultierend "&amp;VLOOKUP(VLOOKUP(D27,'_Tabellen und Listen'!$A$342:$B$400,2,FALSE),'2. Fähigkeiten'!$B$15:$F$121,5,FALSE)-VLOOKUP(D27,'_Tabellen und Listen'!$A$342:$C$400,3,FALSE)+IF(VLOOKUP(D27,'_Tabellen und Listen'!$A$342:$I$400,9,FALSE)="Schiesskunst",Charakterbogen!C14,Charakterbogen!C11)+IF(C27="schlecht",-1,0)&amp;"W"&amp;IF(OR(C27="überlegen",C27="außergewöhnlich"),"+1",""),"")</f>
        <v>Kampf, Schilde 2B, daraus resultierend 0W</v>
      </c>
      <c r="G27" s="426"/>
      <c r="H27" s="426"/>
      <c r="I27" s="426"/>
      <c r="J27" s="426" t="str">
        <f>IF(D27&lt;&gt;"","Grundschaden: "&amp;VLOOKUP(D27,'_Tabellen und Listen'!$A$342:$D$400,4,FALSE)&amp;IF(C27="außergewöhnlich","+1","")&amp;" = "&amp;VLOOKUP(D27,'_Tabellen und Listen'!$A$342:$F$400,6,FALSE)+IF(C27="außergewöhnlich",1,0)&amp;" / Eigenschaften: "&amp;VLOOKUP(D27,'_Tabellen und Listen'!$A$342:$G$400,5,FALSE),"")</f>
        <v>Grundschaden: Athletik -2 = 1 / Eigenschaften: Abwehr +6, Last 2</v>
      </c>
      <c r="K27" s="426"/>
      <c r="L27" s="426"/>
      <c r="M27" s="426"/>
      <c r="N27" s="426"/>
      <c r="O27" s="426"/>
      <c r="P27" s="426"/>
      <c r="Q27" s="426"/>
      <c r="R27" s="426"/>
      <c r="S27" s="426"/>
      <c r="T27" s="426"/>
      <c r="U27" s="426"/>
      <c r="V27" s="426"/>
      <c r="W27" s="439" t="s">
        <v>766</v>
      </c>
      <c r="X27" s="414"/>
      <c r="Y27" s="80"/>
      <c r="Z27" s="20" t="str">
        <f>IF(OR(D27=$W$28,D27=$W$29),"",D27)</f>
        <v>Turmschild</v>
      </c>
    </row>
    <row r="28" spans="1:27" ht="43.9" customHeight="1" thickTop="1" thickBot="1" x14ac:dyDescent="0.3">
      <c r="A28" s="80"/>
      <c r="C28" s="253"/>
      <c r="D28" s="390"/>
      <c r="E28" s="391"/>
      <c r="F28" s="425" t="str">
        <f>IF(D28&lt;&gt;"",VLOOKUP(D28,'_Tabellen und Listen'!$A$342:$I$400,9,FALSE)&amp;", "&amp;VLOOKUP(D28,'_Tabellen und Listen'!$A$342:$B$400,2,FALSE)&amp;IF(VLOOKUP(D28,'_Tabellen und Listen'!$A$342:$C$400,3,FALSE)&gt;0," "&amp;VLOOKUP(D28,'_Tabellen und Listen'!$A$342:$C$400,3,FALSE)&amp;"B","")&amp;", daraus resultierend "&amp;VLOOKUP(VLOOKUP(D28,'_Tabellen und Listen'!$A$342:$B$400,2,FALSE),'2. Fähigkeiten'!$B$15:$F$121,5,FALSE)-VLOOKUP(D28,'_Tabellen und Listen'!$A$342:$C$400,3,FALSE)+IF(VLOOKUP(D28,'_Tabellen und Listen'!$A$342:$I$400,9,FALSE)="Schiesskunst",Charakterbogen!C15,Charakterbogen!C12)+IF(C28="schlecht",-1,0)&amp;"W"&amp;IF(OR(C28="überlegen",C28="außergewöhnlich"),"+1",""),"")</f>
        <v/>
      </c>
      <c r="G28" s="426"/>
      <c r="H28" s="426"/>
      <c r="I28" s="426"/>
      <c r="J28" s="426" t="str">
        <f>IF(D28&lt;&gt;"","Grundschaden: "&amp;VLOOKUP(D28,'_Tabellen und Listen'!$A$342:$D$400,4,FALSE)&amp;IF(C28="außergewöhnlich","+1","")&amp;" = "&amp;VLOOKUP(D28,'_Tabellen und Listen'!$A$342:$F$400,6,FALSE)+IF(C28="außergewöhnlich",1,0)&amp;" / Eigenschaften: "&amp;VLOOKUP(D28,'_Tabellen und Listen'!$A$342:$G$400,5,FALSE),"")</f>
        <v/>
      </c>
      <c r="K28" s="426"/>
      <c r="L28" s="426"/>
      <c r="M28" s="426"/>
      <c r="N28" s="426"/>
      <c r="O28" s="426"/>
      <c r="P28" s="426"/>
      <c r="Q28" s="426"/>
      <c r="R28" s="426"/>
      <c r="S28" s="426"/>
      <c r="T28" s="426"/>
      <c r="U28" s="426"/>
      <c r="V28" s="426"/>
      <c r="W28" s="251"/>
      <c r="X28" s="243" t="str">
        <f>IFERROR("Abwehr "&amp;VLOOKUP(W28,'_Tabellen und Listen'!$A$332:$B$340,2,FALSE)&amp;", Last "&amp;VLOOKUP(W28,'_Tabellen und Listen'!$A$332:$C$340,3,FALSE),"")</f>
        <v/>
      </c>
      <c r="Y28" s="80"/>
      <c r="Z28" s="20" t="str">
        <f t="shared" ref="Z28:Z31" si="2">IF(OR(D28=$W$28,D28=$W$29),"",D28)</f>
        <v/>
      </c>
    </row>
    <row r="29" spans="1:27" ht="43.9" customHeight="1" thickTop="1" thickBot="1" x14ac:dyDescent="0.3">
      <c r="A29" s="80"/>
      <c r="C29" s="253"/>
      <c r="D29" s="390"/>
      <c r="E29" s="391"/>
      <c r="F29" s="425" t="str">
        <f>IF(D29&lt;&gt;"",VLOOKUP(D29,'_Tabellen und Listen'!$A$342:$I$400,9,FALSE)&amp;", "&amp;VLOOKUP(D29,'_Tabellen und Listen'!$A$342:$B$400,2,FALSE)&amp;IF(VLOOKUP(D29,'_Tabellen und Listen'!$A$342:$C$400,3,FALSE)&gt;0," "&amp;VLOOKUP(D29,'_Tabellen und Listen'!$A$342:$C$400,3,FALSE)&amp;"B","")&amp;", daraus resultierend "&amp;VLOOKUP(VLOOKUP(D29,'_Tabellen und Listen'!$A$342:$B$400,2,FALSE),'2. Fähigkeiten'!$B$15:$F$121,5,FALSE)-VLOOKUP(D29,'_Tabellen und Listen'!$A$342:$C$400,3,FALSE)+IF(VLOOKUP(D29,'_Tabellen und Listen'!$A$342:$I$400,9,FALSE)="Schiesskunst",Charakterbogen!C16,Charakterbogen!C13)+IF(C29="schlecht",-1,0)&amp;"W"&amp;IF(OR(C29="überlegen",C29="außergewöhnlich"),"+1",""),"")</f>
        <v/>
      </c>
      <c r="G29" s="426"/>
      <c r="H29" s="426"/>
      <c r="I29" s="426"/>
      <c r="J29" s="426" t="str">
        <f>IF(D29&lt;&gt;"","Grundschaden: "&amp;VLOOKUP(D29,'_Tabellen und Listen'!$A$342:$D$400,4,FALSE)&amp;IF(C29="außergewöhnlich","+1","")&amp;" = "&amp;VLOOKUP(D29,'_Tabellen und Listen'!$A$342:$F$400,6,FALSE)+IF(C29="außergewöhnlich",1,0)&amp;" / Eigenschaften: "&amp;VLOOKUP(D29,'_Tabellen und Listen'!$A$342:$G$400,5,FALSE),"")</f>
        <v/>
      </c>
      <c r="K29" s="426"/>
      <c r="L29" s="426"/>
      <c r="M29" s="426"/>
      <c r="N29" s="426"/>
      <c r="O29" s="426"/>
      <c r="P29" s="426"/>
      <c r="Q29" s="426"/>
      <c r="R29" s="426"/>
      <c r="S29" s="426"/>
      <c r="T29" s="426"/>
      <c r="U29" s="426"/>
      <c r="V29" s="426"/>
      <c r="W29" s="251"/>
      <c r="X29" s="243" t="str">
        <f>IFERROR("Abwehr "&amp;VLOOKUP(W29,'_Tabellen und Listen'!$A$332:$B$340,2,FALSE)&amp;", Last "&amp;VLOOKUP(W29,'_Tabellen und Listen'!$A$332:$C$340,3,FALSE),"")</f>
        <v/>
      </c>
      <c r="Y29" s="80"/>
      <c r="Z29" s="20" t="str">
        <f t="shared" si="2"/>
        <v/>
      </c>
    </row>
    <row r="30" spans="1:27" ht="43.9" customHeight="1" thickTop="1" thickBot="1" x14ac:dyDescent="0.3">
      <c r="A30" s="80"/>
      <c r="C30" s="253"/>
      <c r="D30" s="390"/>
      <c r="E30" s="391"/>
      <c r="F30" s="425" t="str">
        <f>IF(D30&lt;&gt;"",VLOOKUP(D30,'_Tabellen und Listen'!$A$342:$I$400,9,FALSE)&amp;", "&amp;VLOOKUP(D30,'_Tabellen und Listen'!$A$342:$B$400,2,FALSE)&amp;IF(VLOOKUP(D30,'_Tabellen und Listen'!$A$342:$C$400,3,FALSE)&gt;0," "&amp;VLOOKUP(D30,'_Tabellen und Listen'!$A$342:$C$400,3,FALSE)&amp;"B","")&amp;", daraus resultierend "&amp;VLOOKUP(VLOOKUP(D30,'_Tabellen und Listen'!$A$342:$B$400,2,FALSE),'2. Fähigkeiten'!$B$15:$F$121,5,FALSE)-VLOOKUP(D30,'_Tabellen und Listen'!$A$342:$C$400,3,FALSE)+IF(VLOOKUP(D30,'_Tabellen und Listen'!$A$342:$I$400,9,FALSE)="Schiesskunst",Charakterbogen!C17,Charakterbogen!C14)+IF(C30="schlecht",-1,0)&amp;"W"&amp;IF(OR(C30="überlegen",C30="außergewöhnlich"),"+1",""),"")</f>
        <v/>
      </c>
      <c r="G30" s="426"/>
      <c r="H30" s="426"/>
      <c r="I30" s="426"/>
      <c r="J30" s="426" t="str">
        <f>IF(D30&lt;&gt;"","Grundschaden: "&amp;VLOOKUP(D30,'_Tabellen und Listen'!$A$342:$D$400,4,FALSE)&amp;IF(C30="außergewöhnlich","+1","")&amp;" = "&amp;VLOOKUP(D30,'_Tabellen und Listen'!$A$342:$F$400,6,FALSE)+IF(C30="außergewöhnlich",1,0)&amp;" / Eigenschaften: "&amp;VLOOKUP(D30,'_Tabellen und Listen'!$A$342:$G$400,5,FALSE),"")</f>
        <v/>
      </c>
      <c r="K30" s="426"/>
      <c r="L30" s="426"/>
      <c r="M30" s="426"/>
      <c r="N30" s="426"/>
      <c r="O30" s="426"/>
      <c r="P30" s="426"/>
      <c r="Q30" s="426"/>
      <c r="R30" s="426"/>
      <c r="S30" s="426"/>
      <c r="T30" s="426"/>
      <c r="U30" s="426"/>
      <c r="V30" s="426"/>
      <c r="W30" s="233" t="s">
        <v>349</v>
      </c>
      <c r="X30" s="231" t="s">
        <v>350</v>
      </c>
      <c r="Y30" s="80"/>
      <c r="Z30" s="20" t="str">
        <f t="shared" si="2"/>
        <v/>
      </c>
    </row>
    <row r="31" spans="1:27" ht="43.9" customHeight="1" thickTop="1" thickBot="1" x14ac:dyDescent="0.3">
      <c r="A31" s="80"/>
      <c r="C31" s="254"/>
      <c r="D31" s="393"/>
      <c r="E31" s="394"/>
      <c r="F31" s="425" t="str">
        <f>IF(D31&lt;&gt;"",VLOOKUP(D31,'_Tabellen und Listen'!$A$342:$I$400,9,FALSE)&amp;", "&amp;VLOOKUP(D31,'_Tabellen und Listen'!$A$342:$B$400,2,FALSE)&amp;IF(VLOOKUP(D31,'_Tabellen und Listen'!$A$342:$C$400,3,FALSE)&gt;0," "&amp;VLOOKUP(D31,'_Tabellen und Listen'!$A$342:$C$400,3,FALSE)&amp;"B","")&amp;", daraus resultierend "&amp;VLOOKUP(VLOOKUP(D31,'_Tabellen und Listen'!$A$342:$B$400,2,FALSE),'2. Fähigkeiten'!$B$15:$F$121,5,FALSE)-VLOOKUP(D31,'_Tabellen und Listen'!$A$342:$C$400,3,FALSE)+IF(VLOOKUP(D31,'_Tabellen und Listen'!$A$342:$I$400,9,FALSE)="Schiesskunst",Charakterbogen!C18,Charakterbogen!C15)+IF(C31="schlecht",-1,0)&amp;"W"&amp;IF(OR(C31="überlegen",C31="außergewöhnlich"),"+1",""),"")</f>
        <v/>
      </c>
      <c r="G31" s="426"/>
      <c r="H31" s="426"/>
      <c r="I31" s="426"/>
      <c r="J31" s="426" t="str">
        <f>IF(D31&lt;&gt;"","Grundschaden: "&amp;VLOOKUP(D31,'_Tabellen und Listen'!$A$342:$D$400,4,FALSE)&amp;IF(C31="außergewöhnlich","+1","")&amp;" = "&amp;VLOOKUP(D31,'_Tabellen und Listen'!$A$342:$F$400,6,FALSE)+IF(C31="außergewöhnlich",1,0)&amp;" / Eigenschaften: "&amp;VLOOKUP(D31,'_Tabellen und Listen'!$A$342:$G$400,5,FALSE),"")</f>
        <v/>
      </c>
      <c r="K31" s="426"/>
      <c r="L31" s="426"/>
      <c r="M31" s="426"/>
      <c r="N31" s="426"/>
      <c r="O31" s="426"/>
      <c r="P31" s="426"/>
      <c r="Q31" s="426"/>
      <c r="R31" s="426"/>
      <c r="S31" s="426"/>
      <c r="T31" s="426"/>
      <c r="U31" s="426"/>
      <c r="V31" s="426"/>
      <c r="W31" s="243">
        <f>IF(W26&lt;&gt;"",VLOOKUP(W26,'_Tabellen und Listen'!A315:B329,2,FALSE),0)</f>
        <v>1</v>
      </c>
      <c r="X31" s="228">
        <f>IF(W26&lt;&gt;"",VLOOKUP(W26,'_Tabellen und Listen'!A315:C329,3,FALSE),0)</f>
        <v>0</v>
      </c>
      <c r="Y31" s="80"/>
      <c r="Z31" s="20" t="str">
        <f t="shared" si="2"/>
        <v/>
      </c>
    </row>
    <row r="32" spans="1:27" ht="26.25" customHeight="1" thickTop="1" x14ac:dyDescent="0.25">
      <c r="A32" s="80"/>
      <c r="C32" s="421" t="s">
        <v>351</v>
      </c>
      <c r="D32" s="421"/>
      <c r="E32" s="421"/>
      <c r="F32" s="428"/>
      <c r="G32" s="429"/>
      <c r="H32" s="429"/>
      <c r="I32" s="429"/>
      <c r="J32" s="429"/>
      <c r="K32" s="429"/>
      <c r="L32" s="430"/>
      <c r="M32" s="79"/>
      <c r="N32" s="423" t="s">
        <v>352</v>
      </c>
      <c r="O32" s="428"/>
      <c r="P32" s="429"/>
      <c r="Q32" s="429"/>
      <c r="R32" s="429"/>
      <c r="S32" s="429"/>
      <c r="T32" s="429"/>
      <c r="U32" s="429"/>
      <c r="V32" s="430"/>
      <c r="W32" s="440" t="s">
        <v>938</v>
      </c>
      <c r="X32" s="442" t="s">
        <v>777</v>
      </c>
      <c r="Y32" s="80"/>
      <c r="Z32" s="20">
        <f>W28</f>
        <v>0</v>
      </c>
    </row>
    <row r="33" spans="1:26" ht="21.95" customHeight="1" thickBot="1" x14ac:dyDescent="0.3">
      <c r="A33" s="80"/>
      <c r="C33" s="422"/>
      <c r="D33" s="422"/>
      <c r="E33" s="422"/>
      <c r="F33" s="93"/>
      <c r="G33" s="94"/>
      <c r="H33" s="94"/>
      <c r="I33" s="94"/>
      <c r="J33" s="94"/>
      <c r="K33" s="94"/>
      <c r="L33" s="95"/>
      <c r="M33" s="79"/>
      <c r="N33" s="423"/>
      <c r="O33" s="434"/>
      <c r="P33" s="427"/>
      <c r="Q33" s="427"/>
      <c r="R33" s="427"/>
      <c r="S33" s="427"/>
      <c r="T33" s="427"/>
      <c r="U33" s="427"/>
      <c r="V33" s="435"/>
      <c r="W33" s="441"/>
      <c r="X33" s="443"/>
      <c r="Y33" s="80"/>
      <c r="Z33" s="20">
        <f>W29</f>
        <v>0</v>
      </c>
    </row>
    <row r="34" spans="1:26" ht="21.95" customHeight="1" thickTop="1" x14ac:dyDescent="0.25">
      <c r="A34" s="80"/>
      <c r="C34" s="422"/>
      <c r="D34" s="422"/>
      <c r="E34" s="422"/>
      <c r="F34" s="93"/>
      <c r="G34" s="94"/>
      <c r="H34" s="94"/>
      <c r="I34" s="94"/>
      <c r="J34" s="94"/>
      <c r="K34" s="94"/>
      <c r="L34" s="95"/>
      <c r="M34" s="79"/>
      <c r="N34" s="423"/>
      <c r="O34" s="448"/>
      <c r="P34" s="427"/>
      <c r="Q34" s="427"/>
      <c r="R34" s="427"/>
      <c r="S34" s="427"/>
      <c r="T34" s="427"/>
      <c r="U34" s="427"/>
      <c r="V34" s="450"/>
      <c r="W34" s="444">
        <f>IFERROR(VLOOKUP(W26,'_Tabellen und Listen'!$A$315:$D$330,4,FALSE),0)+IFERROR(VLOOKUP(W28,'_Tabellen und Listen'!$A$332:$C$340,3,FALSE),0)+IFERROR(VLOOKUP(W29,'_Tabellen und Listen'!$A$332:$C$340,3,FALSE),0)+IFERROR(VLOOKUP(Z27,'_Tabellen und Listen'!$A$342:$G$400,7,FALSE),0)+IFERROR(VLOOKUP(Z28,'_Tabellen und Listen'!$A$342:$G$400,7,FALSE),0)+IFERROR(VLOOKUP(Z29,'_Tabellen und Listen'!$A$342:$G$400,7,FALSE),0)+IFERROR(VLOOKUP(Z30,'_Tabellen und Listen'!$A$342:$G$400,7,FALSE),0)+IFERROR(VLOOKUP(Z31,'_Tabellen und Listen'!$A$342:$G$400,3,FALSE),0)</f>
        <v>3</v>
      </c>
      <c r="X34" s="446" t="str">
        <f>"ungerüstet "&amp;IF(C6&lt;2,3,4+ROUNDDOWN('2. Fähigkeiten'!F18/2,0))&amp;"/"&amp;4*IF(C6&lt;2,3,4+ROUNDDOWN('2. Fähigkeiten'!F18/2,0))&amp;"m, gerüstet "&amp;IF(C6&lt;2,3,4+ROUNDDOWN('2. Fähigkeiten'!F18/2,0))-ROUNDDOWN(W34/2,0)&amp;"/"&amp;4*IF(C6&lt;2,3,4+ROUNDDOWN('2. Fähigkeiten'!F18/2,0))-W34&amp;"m"</f>
        <v>ungerüstet 4/16m, gerüstet 3/13m</v>
      </c>
      <c r="Y34" s="80"/>
    </row>
    <row r="35" spans="1:26" ht="26.25" customHeight="1" thickBot="1" x14ac:dyDescent="0.3">
      <c r="A35" s="80"/>
      <c r="C35" s="422"/>
      <c r="D35" s="422"/>
      <c r="E35" s="422"/>
      <c r="F35" s="431"/>
      <c r="G35" s="432"/>
      <c r="H35" s="432"/>
      <c r="I35" s="432"/>
      <c r="J35" s="432"/>
      <c r="K35" s="432"/>
      <c r="L35" s="433"/>
      <c r="M35" s="78"/>
      <c r="N35" s="424"/>
      <c r="O35" s="449"/>
      <c r="P35" s="432"/>
      <c r="Q35" s="432"/>
      <c r="R35" s="432"/>
      <c r="S35" s="432"/>
      <c r="T35" s="432"/>
      <c r="U35" s="432"/>
      <c r="V35" s="451"/>
      <c r="W35" s="445"/>
      <c r="X35" s="447"/>
      <c r="Y35" s="80"/>
    </row>
    <row r="36" spans="1:26" ht="16.5" thickTop="1" x14ac:dyDescent="0.25">
      <c r="A36" s="80"/>
      <c r="C36" s="80" t="str">
        <f>"Das Lied von Eis und Feuer Charakterbogen"&amp;IF(Spielername&gt;0," für "&amp;Spielername,"")</f>
        <v>Das Lied von Eis und Feuer Charakterbogen</v>
      </c>
      <c r="D36" s="81"/>
      <c r="E36" s="81"/>
      <c r="F36" s="81"/>
      <c r="G36" s="81"/>
      <c r="H36" s="80"/>
      <c r="I36" s="80"/>
      <c r="J36" s="80"/>
      <c r="K36" s="80"/>
      <c r="L36" s="80"/>
      <c r="M36" s="82"/>
      <c r="N36" s="80"/>
      <c r="O36" s="80"/>
      <c r="P36" s="80"/>
      <c r="Q36" s="80"/>
      <c r="R36" s="80"/>
      <c r="S36" s="80"/>
      <c r="T36" s="80"/>
      <c r="U36" s="80"/>
      <c r="V36" s="81"/>
      <c r="W36" s="397" t="str">
        <f>'1. Allgemeines'!H3</f>
        <v>Version 24.8.17 © Jaegers.Net</v>
      </c>
      <c r="X36" s="397"/>
      <c r="Y36" s="80"/>
    </row>
    <row r="37" spans="1:26" ht="16.5" thickBot="1" x14ac:dyDescent="0.3">
      <c r="A37" s="80"/>
      <c r="C37" s="80"/>
      <c r="D37" s="81"/>
      <c r="E37" s="81"/>
      <c r="F37" s="81"/>
      <c r="G37" s="81"/>
      <c r="H37" s="80"/>
      <c r="I37" s="80"/>
      <c r="J37" s="80"/>
      <c r="K37" s="80"/>
      <c r="L37" s="80"/>
      <c r="M37" s="82"/>
      <c r="N37" s="80"/>
      <c r="O37" s="80"/>
      <c r="P37" s="80"/>
      <c r="Q37" s="80"/>
      <c r="R37" s="80"/>
      <c r="S37" s="80"/>
      <c r="T37" s="80"/>
      <c r="U37" s="80"/>
      <c r="V37" s="81"/>
      <c r="W37" s="80"/>
      <c r="X37" s="80"/>
      <c r="Y37" s="80"/>
    </row>
    <row r="38" spans="1:26" ht="39.75" customHeight="1" thickTop="1" thickBot="1" x14ac:dyDescent="0.3">
      <c r="A38" s="80"/>
      <c r="C38" s="410" t="s">
        <v>353</v>
      </c>
      <c r="D38" s="410"/>
      <c r="E38" s="410"/>
      <c r="F38" s="410"/>
      <c r="G38" s="410"/>
      <c r="H38" s="410"/>
      <c r="I38" s="410"/>
      <c r="J38" s="410"/>
      <c r="K38" s="410"/>
      <c r="L38" s="410"/>
      <c r="M38" s="83"/>
      <c r="N38" s="411" t="s">
        <v>354</v>
      </c>
      <c r="O38" s="410"/>
      <c r="P38" s="410"/>
      <c r="Q38" s="410"/>
      <c r="R38" s="410"/>
      <c r="S38" s="410"/>
      <c r="T38" s="410"/>
      <c r="U38" s="410"/>
      <c r="V38" s="410"/>
      <c r="W38" s="411"/>
      <c r="X38" s="410"/>
      <c r="Y38" s="80"/>
    </row>
    <row r="39" spans="1:26" ht="39.75" customHeight="1" thickTop="1" thickBot="1" x14ac:dyDescent="0.3">
      <c r="A39" s="80"/>
      <c r="C39" s="415"/>
      <c r="D39" s="416"/>
      <c r="E39" s="416"/>
      <c r="F39" s="416"/>
      <c r="G39" s="416"/>
      <c r="H39" s="416"/>
      <c r="I39" s="416"/>
      <c r="J39" s="416"/>
      <c r="K39" s="416"/>
      <c r="L39" s="417"/>
      <c r="M39" s="247"/>
      <c r="N39" s="245" t="s">
        <v>355</v>
      </c>
      <c r="O39" s="418"/>
      <c r="P39" s="419"/>
      <c r="Q39" s="419"/>
      <c r="R39" s="419"/>
      <c r="S39" s="419"/>
      <c r="T39" s="419"/>
      <c r="U39" s="419"/>
      <c r="V39" s="420"/>
      <c r="W39" s="249" t="s">
        <v>357</v>
      </c>
      <c r="X39" s="250"/>
      <c r="Y39" s="80"/>
    </row>
    <row r="40" spans="1:26" ht="39.75" customHeight="1" thickTop="1" thickBot="1" x14ac:dyDescent="0.3">
      <c r="A40" s="80"/>
      <c r="C40" s="415"/>
      <c r="D40" s="416"/>
      <c r="E40" s="416"/>
      <c r="F40" s="416"/>
      <c r="G40" s="416"/>
      <c r="H40" s="416"/>
      <c r="I40" s="416"/>
      <c r="J40" s="416"/>
      <c r="K40" s="416"/>
      <c r="L40" s="417"/>
      <c r="M40" s="247"/>
      <c r="N40" s="245" t="s">
        <v>356</v>
      </c>
      <c r="O40" s="418"/>
      <c r="P40" s="419"/>
      <c r="Q40" s="419"/>
      <c r="R40" s="419"/>
      <c r="S40" s="419"/>
      <c r="T40" s="419"/>
      <c r="U40" s="419"/>
      <c r="V40" s="420"/>
      <c r="W40" s="249" t="s">
        <v>358</v>
      </c>
      <c r="X40" s="250"/>
      <c r="Y40" s="80"/>
    </row>
    <row r="41" spans="1:26" ht="39.75" customHeight="1" thickTop="1" thickBot="1" x14ac:dyDescent="0.3">
      <c r="A41" s="80"/>
      <c r="C41" s="415"/>
      <c r="D41" s="416"/>
      <c r="E41" s="416"/>
      <c r="F41" s="416"/>
      <c r="G41" s="416"/>
      <c r="H41" s="416"/>
      <c r="I41" s="416"/>
      <c r="J41" s="416"/>
      <c r="K41" s="416"/>
      <c r="L41" s="417"/>
      <c r="M41" s="247"/>
      <c r="N41" s="410" t="s">
        <v>359</v>
      </c>
      <c r="O41" s="409"/>
      <c r="P41" s="409"/>
      <c r="Q41" s="409"/>
      <c r="R41" s="409"/>
      <c r="S41" s="409"/>
      <c r="T41" s="409"/>
      <c r="U41" s="409"/>
      <c r="V41" s="409"/>
      <c r="W41" s="410"/>
      <c r="X41" s="409"/>
      <c r="Y41" s="80"/>
    </row>
    <row r="42" spans="1:26" ht="32.1" customHeight="1" thickTop="1" thickBot="1" x14ac:dyDescent="0.3">
      <c r="A42" s="80"/>
      <c r="C42" s="415"/>
      <c r="D42" s="416"/>
      <c r="E42" s="416"/>
      <c r="F42" s="416"/>
      <c r="G42" s="416"/>
      <c r="H42" s="416"/>
      <c r="I42" s="416"/>
      <c r="J42" s="416"/>
      <c r="K42" s="416"/>
      <c r="L42" s="417"/>
      <c r="M42" s="248"/>
      <c r="N42" s="399"/>
      <c r="O42" s="400"/>
      <c r="P42" s="400"/>
      <c r="Q42" s="400"/>
      <c r="R42" s="400"/>
      <c r="S42" s="400"/>
      <c r="T42" s="400"/>
      <c r="U42" s="400"/>
      <c r="V42" s="400"/>
      <c r="W42" s="400"/>
      <c r="X42" s="401"/>
      <c r="Y42" s="80"/>
    </row>
    <row r="43" spans="1:26" ht="39.75" customHeight="1" thickTop="1" thickBot="1" x14ac:dyDescent="0.3">
      <c r="A43" s="80"/>
      <c r="C43" s="409" t="s">
        <v>360</v>
      </c>
      <c r="D43" s="409"/>
      <c r="E43" s="409"/>
      <c r="F43" s="409"/>
      <c r="G43" s="409"/>
      <c r="H43" s="409"/>
      <c r="I43" s="409"/>
      <c r="J43" s="409"/>
      <c r="K43" s="409"/>
      <c r="L43" s="409"/>
      <c r="M43" s="246"/>
      <c r="N43" s="402"/>
      <c r="O43" s="403"/>
      <c r="P43" s="403"/>
      <c r="Q43" s="403"/>
      <c r="R43" s="403"/>
      <c r="S43" s="403"/>
      <c r="T43" s="403"/>
      <c r="U43" s="403"/>
      <c r="V43" s="403"/>
      <c r="W43" s="403"/>
      <c r="X43" s="404"/>
      <c r="Y43" s="80"/>
    </row>
    <row r="44" spans="1:26" ht="32.1" customHeight="1" thickTop="1" thickBot="1" x14ac:dyDescent="0.3">
      <c r="A44" s="80"/>
      <c r="C44" s="399"/>
      <c r="D44" s="400"/>
      <c r="E44" s="400"/>
      <c r="F44" s="400"/>
      <c r="G44" s="400"/>
      <c r="H44" s="400"/>
      <c r="I44" s="400"/>
      <c r="J44" s="400"/>
      <c r="K44" s="400"/>
      <c r="L44" s="401"/>
      <c r="M44" s="248"/>
      <c r="N44" s="405"/>
      <c r="O44" s="406"/>
      <c r="P44" s="406"/>
      <c r="Q44" s="406"/>
      <c r="R44" s="406"/>
      <c r="S44" s="406"/>
      <c r="T44" s="406"/>
      <c r="U44" s="406"/>
      <c r="V44" s="406"/>
      <c r="W44" s="406"/>
      <c r="X44" s="407"/>
      <c r="Y44" s="80"/>
    </row>
    <row r="45" spans="1:26" ht="39.75" customHeight="1" thickTop="1" thickBot="1" x14ac:dyDescent="0.3">
      <c r="A45" s="80"/>
      <c r="C45" s="402"/>
      <c r="D45" s="403"/>
      <c r="E45" s="403"/>
      <c r="F45" s="403"/>
      <c r="G45" s="403"/>
      <c r="H45" s="403"/>
      <c r="I45" s="403"/>
      <c r="J45" s="403"/>
      <c r="K45" s="403"/>
      <c r="L45" s="404"/>
      <c r="M45" s="247"/>
      <c r="N45" s="409" t="s">
        <v>361</v>
      </c>
      <c r="O45" s="409"/>
      <c r="P45" s="409"/>
      <c r="Q45" s="409"/>
      <c r="R45" s="409"/>
      <c r="S45" s="409"/>
      <c r="T45" s="409"/>
      <c r="U45" s="409"/>
      <c r="V45" s="409"/>
      <c r="W45" s="409"/>
      <c r="X45" s="409"/>
      <c r="Y45" s="80"/>
    </row>
    <row r="46" spans="1:26" ht="32.1" customHeight="1" thickTop="1" thickBot="1" x14ac:dyDescent="0.3">
      <c r="A46" s="80"/>
      <c r="C46" s="402"/>
      <c r="D46" s="403"/>
      <c r="E46" s="403"/>
      <c r="F46" s="403"/>
      <c r="G46" s="403"/>
      <c r="H46" s="403"/>
      <c r="I46" s="403"/>
      <c r="J46" s="403"/>
      <c r="K46" s="403"/>
      <c r="L46" s="404"/>
      <c r="M46" s="248"/>
      <c r="N46" s="399"/>
      <c r="O46" s="400"/>
      <c r="P46" s="400"/>
      <c r="Q46" s="400"/>
      <c r="R46" s="400"/>
      <c r="S46" s="400"/>
      <c r="T46" s="400"/>
      <c r="U46" s="400"/>
      <c r="V46" s="400"/>
      <c r="W46" s="400"/>
      <c r="X46" s="401"/>
      <c r="Y46" s="80"/>
    </row>
    <row r="47" spans="1:26" ht="32.1" customHeight="1" thickTop="1" thickBot="1" x14ac:dyDescent="0.3">
      <c r="A47" s="80"/>
      <c r="C47" s="402"/>
      <c r="D47" s="403"/>
      <c r="E47" s="403"/>
      <c r="F47" s="403"/>
      <c r="G47" s="403"/>
      <c r="H47" s="403"/>
      <c r="I47" s="403"/>
      <c r="J47" s="403"/>
      <c r="K47" s="403"/>
      <c r="L47" s="404"/>
      <c r="M47" s="248"/>
      <c r="N47" s="402"/>
      <c r="O47" s="403"/>
      <c r="P47" s="403"/>
      <c r="Q47" s="403"/>
      <c r="R47" s="403"/>
      <c r="S47" s="403"/>
      <c r="T47" s="403"/>
      <c r="U47" s="403"/>
      <c r="V47" s="403"/>
      <c r="W47" s="403"/>
      <c r="X47" s="404"/>
      <c r="Y47" s="80"/>
    </row>
    <row r="48" spans="1:26" ht="32.1" customHeight="1" thickTop="1" thickBot="1" x14ac:dyDescent="0.3">
      <c r="A48" s="80"/>
      <c r="C48" s="402"/>
      <c r="D48" s="403"/>
      <c r="E48" s="403"/>
      <c r="F48" s="403"/>
      <c r="G48" s="403"/>
      <c r="H48" s="403"/>
      <c r="I48" s="403"/>
      <c r="J48" s="403"/>
      <c r="K48" s="403"/>
      <c r="L48" s="404"/>
      <c r="M48" s="248"/>
      <c r="N48" s="405"/>
      <c r="O48" s="406"/>
      <c r="P48" s="406"/>
      <c r="Q48" s="406"/>
      <c r="R48" s="406"/>
      <c r="S48" s="406"/>
      <c r="T48" s="406"/>
      <c r="U48" s="406"/>
      <c r="V48" s="406"/>
      <c r="W48" s="406"/>
      <c r="X48" s="407"/>
      <c r="Y48" s="80"/>
    </row>
    <row r="49" spans="1:25" ht="39.75" customHeight="1" thickTop="1" thickBot="1" x14ac:dyDescent="0.3">
      <c r="A49" s="80"/>
      <c r="C49" s="402"/>
      <c r="D49" s="403"/>
      <c r="E49" s="403"/>
      <c r="F49" s="403"/>
      <c r="G49" s="403"/>
      <c r="H49" s="403"/>
      <c r="I49" s="403"/>
      <c r="J49" s="403"/>
      <c r="K49" s="403"/>
      <c r="L49" s="404"/>
      <c r="M49" s="247"/>
      <c r="N49" s="409" t="s">
        <v>362</v>
      </c>
      <c r="O49" s="409"/>
      <c r="P49" s="409"/>
      <c r="Q49" s="409"/>
      <c r="R49" s="409"/>
      <c r="S49" s="409"/>
      <c r="T49" s="409"/>
      <c r="U49" s="409"/>
      <c r="V49" s="409"/>
      <c r="W49" s="409"/>
      <c r="X49" s="409"/>
      <c r="Y49" s="80"/>
    </row>
    <row r="50" spans="1:25" ht="32.1" customHeight="1" thickTop="1" thickBot="1" x14ac:dyDescent="0.3">
      <c r="A50" s="80"/>
      <c r="C50" s="402"/>
      <c r="D50" s="403"/>
      <c r="E50" s="403"/>
      <c r="F50" s="403"/>
      <c r="G50" s="403"/>
      <c r="H50" s="403"/>
      <c r="I50" s="403"/>
      <c r="J50" s="403"/>
      <c r="K50" s="403"/>
      <c r="L50" s="404"/>
      <c r="M50" s="248"/>
      <c r="N50" s="399"/>
      <c r="O50" s="400"/>
      <c r="P50" s="400"/>
      <c r="Q50" s="400"/>
      <c r="R50" s="400"/>
      <c r="S50" s="400"/>
      <c r="T50" s="400"/>
      <c r="U50" s="400"/>
      <c r="V50" s="400"/>
      <c r="W50" s="400"/>
      <c r="X50" s="401"/>
      <c r="Y50" s="80"/>
    </row>
    <row r="51" spans="1:25" ht="32.1" customHeight="1" thickTop="1" thickBot="1" x14ac:dyDescent="0.3">
      <c r="A51" s="80"/>
      <c r="C51" s="402"/>
      <c r="D51" s="403"/>
      <c r="E51" s="403"/>
      <c r="F51" s="403"/>
      <c r="G51" s="403"/>
      <c r="H51" s="403"/>
      <c r="I51" s="403"/>
      <c r="J51" s="403"/>
      <c r="K51" s="403"/>
      <c r="L51" s="404"/>
      <c r="M51" s="248"/>
      <c r="N51" s="402"/>
      <c r="O51" s="403"/>
      <c r="P51" s="403"/>
      <c r="Q51" s="403"/>
      <c r="R51" s="403"/>
      <c r="S51" s="403"/>
      <c r="T51" s="403"/>
      <c r="U51" s="403"/>
      <c r="V51" s="403"/>
      <c r="W51" s="403"/>
      <c r="X51" s="404"/>
      <c r="Y51" s="80"/>
    </row>
    <row r="52" spans="1:25" ht="32.1" customHeight="1" thickTop="1" thickBot="1" x14ac:dyDescent="0.3">
      <c r="A52" s="80"/>
      <c r="C52" s="402"/>
      <c r="D52" s="403"/>
      <c r="E52" s="403"/>
      <c r="F52" s="403"/>
      <c r="G52" s="403"/>
      <c r="H52" s="403"/>
      <c r="I52" s="403"/>
      <c r="J52" s="403"/>
      <c r="K52" s="403"/>
      <c r="L52" s="404"/>
      <c r="M52" s="248"/>
      <c r="N52" s="402"/>
      <c r="O52" s="403"/>
      <c r="P52" s="403"/>
      <c r="Q52" s="403"/>
      <c r="R52" s="403"/>
      <c r="S52" s="403"/>
      <c r="T52" s="403"/>
      <c r="U52" s="403"/>
      <c r="V52" s="403"/>
      <c r="W52" s="403"/>
      <c r="X52" s="404"/>
      <c r="Y52" s="80"/>
    </row>
    <row r="53" spans="1:25" ht="32.1" customHeight="1" thickTop="1" thickBot="1" x14ac:dyDescent="0.3">
      <c r="A53" s="80"/>
      <c r="C53" s="405"/>
      <c r="D53" s="406"/>
      <c r="E53" s="406"/>
      <c r="F53" s="406"/>
      <c r="G53" s="406"/>
      <c r="H53" s="406"/>
      <c r="I53" s="406"/>
      <c r="J53" s="406"/>
      <c r="K53" s="406"/>
      <c r="L53" s="407"/>
      <c r="M53" s="248"/>
      <c r="N53" s="405"/>
      <c r="O53" s="406"/>
      <c r="P53" s="406"/>
      <c r="Q53" s="406"/>
      <c r="R53" s="406"/>
      <c r="S53" s="406"/>
      <c r="T53" s="406"/>
      <c r="U53" s="406"/>
      <c r="V53" s="406"/>
      <c r="W53" s="406"/>
      <c r="X53" s="407"/>
      <c r="Y53" s="80"/>
    </row>
    <row r="54" spans="1:25" ht="39.75" customHeight="1" thickTop="1" thickBot="1" x14ac:dyDescent="0.3">
      <c r="A54" s="80"/>
      <c r="C54" s="409" t="s">
        <v>363</v>
      </c>
      <c r="D54" s="409"/>
      <c r="E54" s="409"/>
      <c r="F54" s="409"/>
      <c r="G54" s="409"/>
      <c r="H54" s="409"/>
      <c r="I54" s="409"/>
      <c r="J54" s="409"/>
      <c r="K54" s="409"/>
      <c r="L54" s="409"/>
      <c r="M54" s="410"/>
      <c r="N54" s="409"/>
      <c r="O54" s="409"/>
      <c r="P54" s="409"/>
      <c r="Q54" s="409"/>
      <c r="R54" s="409"/>
      <c r="S54" s="409"/>
      <c r="T54" s="409"/>
      <c r="U54" s="409"/>
      <c r="V54" s="409"/>
      <c r="W54" s="409"/>
      <c r="X54" s="409"/>
      <c r="Y54" s="80"/>
    </row>
    <row r="55" spans="1:25" ht="35.1" customHeight="1" thickTop="1" thickBot="1" x14ac:dyDescent="0.3">
      <c r="A55" s="80"/>
      <c r="C55" s="399"/>
      <c r="D55" s="400"/>
      <c r="E55" s="400"/>
      <c r="F55" s="400"/>
      <c r="G55" s="400"/>
      <c r="H55" s="400"/>
      <c r="I55" s="400"/>
      <c r="J55" s="400"/>
      <c r="K55" s="400"/>
      <c r="L55" s="400"/>
      <c r="M55" s="400"/>
      <c r="N55" s="400"/>
      <c r="O55" s="400"/>
      <c r="P55" s="400"/>
      <c r="Q55" s="400"/>
      <c r="R55" s="400"/>
      <c r="S55" s="400"/>
      <c r="T55" s="400"/>
      <c r="U55" s="400"/>
      <c r="V55" s="400"/>
      <c r="W55" s="400"/>
      <c r="X55" s="401"/>
      <c r="Y55" s="80"/>
    </row>
    <row r="56" spans="1:25" ht="35.1" customHeight="1" thickTop="1" thickBot="1" x14ac:dyDescent="0.3">
      <c r="A56" s="80"/>
      <c r="C56" s="402"/>
      <c r="D56" s="403"/>
      <c r="E56" s="403"/>
      <c r="F56" s="403"/>
      <c r="G56" s="403"/>
      <c r="H56" s="403"/>
      <c r="I56" s="403"/>
      <c r="J56" s="403"/>
      <c r="K56" s="403"/>
      <c r="L56" s="403"/>
      <c r="M56" s="403"/>
      <c r="N56" s="403"/>
      <c r="O56" s="403"/>
      <c r="P56" s="403"/>
      <c r="Q56" s="403"/>
      <c r="R56" s="403"/>
      <c r="S56" s="403"/>
      <c r="T56" s="403"/>
      <c r="U56" s="403"/>
      <c r="V56" s="403"/>
      <c r="W56" s="403"/>
      <c r="X56" s="404"/>
      <c r="Y56" s="80"/>
    </row>
    <row r="57" spans="1:25" ht="35.1" customHeight="1" thickTop="1" thickBot="1" x14ac:dyDescent="0.3">
      <c r="A57" s="80"/>
      <c r="C57" s="402"/>
      <c r="D57" s="403"/>
      <c r="E57" s="403"/>
      <c r="F57" s="403"/>
      <c r="G57" s="403"/>
      <c r="H57" s="403"/>
      <c r="I57" s="403"/>
      <c r="J57" s="403"/>
      <c r="K57" s="403"/>
      <c r="L57" s="403"/>
      <c r="M57" s="403"/>
      <c r="N57" s="403"/>
      <c r="O57" s="403"/>
      <c r="P57" s="403"/>
      <c r="Q57" s="403"/>
      <c r="R57" s="403"/>
      <c r="S57" s="403"/>
      <c r="T57" s="403"/>
      <c r="U57" s="403"/>
      <c r="V57" s="403"/>
      <c r="W57" s="403"/>
      <c r="X57" s="404"/>
      <c r="Y57" s="80"/>
    </row>
    <row r="58" spans="1:25" ht="35.1" customHeight="1" thickTop="1" thickBot="1" x14ac:dyDescent="0.3">
      <c r="A58" s="80"/>
      <c r="C58" s="402"/>
      <c r="D58" s="403"/>
      <c r="E58" s="403"/>
      <c r="F58" s="403"/>
      <c r="G58" s="403"/>
      <c r="H58" s="403"/>
      <c r="I58" s="403"/>
      <c r="J58" s="403"/>
      <c r="K58" s="403"/>
      <c r="L58" s="403"/>
      <c r="M58" s="403"/>
      <c r="N58" s="403"/>
      <c r="O58" s="403"/>
      <c r="P58" s="403"/>
      <c r="Q58" s="403"/>
      <c r="R58" s="403"/>
      <c r="S58" s="403"/>
      <c r="T58" s="403"/>
      <c r="U58" s="403"/>
      <c r="V58" s="403"/>
      <c r="W58" s="403"/>
      <c r="X58" s="404"/>
      <c r="Y58" s="80"/>
    </row>
    <row r="59" spans="1:25" ht="35.1" customHeight="1" thickTop="1" thickBot="1" x14ac:dyDescent="0.3">
      <c r="A59" s="80"/>
      <c r="C59" s="402"/>
      <c r="D59" s="403"/>
      <c r="E59" s="403"/>
      <c r="F59" s="403"/>
      <c r="G59" s="403"/>
      <c r="H59" s="403"/>
      <c r="I59" s="403"/>
      <c r="J59" s="403"/>
      <c r="K59" s="403"/>
      <c r="L59" s="403"/>
      <c r="M59" s="403"/>
      <c r="N59" s="403"/>
      <c r="O59" s="403"/>
      <c r="P59" s="403"/>
      <c r="Q59" s="403"/>
      <c r="R59" s="403"/>
      <c r="S59" s="403"/>
      <c r="T59" s="403"/>
      <c r="U59" s="403"/>
      <c r="V59" s="403"/>
      <c r="W59" s="403"/>
      <c r="X59" s="404"/>
      <c r="Y59" s="80"/>
    </row>
    <row r="60" spans="1:25" ht="35.1" customHeight="1" thickTop="1" thickBot="1" x14ac:dyDescent="0.3">
      <c r="A60" s="80"/>
      <c r="C60" s="402"/>
      <c r="D60" s="403"/>
      <c r="E60" s="403"/>
      <c r="F60" s="403"/>
      <c r="G60" s="403"/>
      <c r="H60" s="403"/>
      <c r="I60" s="403"/>
      <c r="J60" s="403"/>
      <c r="K60" s="403"/>
      <c r="L60" s="403"/>
      <c r="M60" s="403"/>
      <c r="N60" s="403"/>
      <c r="O60" s="403"/>
      <c r="P60" s="403"/>
      <c r="Q60" s="403"/>
      <c r="R60" s="403"/>
      <c r="S60" s="403"/>
      <c r="T60" s="403"/>
      <c r="U60" s="403"/>
      <c r="V60" s="403"/>
      <c r="W60" s="403"/>
      <c r="X60" s="404"/>
      <c r="Y60" s="80"/>
    </row>
    <row r="61" spans="1:25" ht="35.1" customHeight="1" thickTop="1" thickBot="1" x14ac:dyDescent="0.3">
      <c r="A61" s="80"/>
      <c r="C61" s="405"/>
      <c r="D61" s="406"/>
      <c r="E61" s="406"/>
      <c r="F61" s="406"/>
      <c r="G61" s="406"/>
      <c r="H61" s="406"/>
      <c r="I61" s="406"/>
      <c r="J61" s="406"/>
      <c r="K61" s="406"/>
      <c r="L61" s="406"/>
      <c r="M61" s="406"/>
      <c r="N61" s="406"/>
      <c r="O61" s="406"/>
      <c r="P61" s="406"/>
      <c r="Q61" s="406"/>
      <c r="R61" s="406"/>
      <c r="S61" s="406"/>
      <c r="T61" s="406"/>
      <c r="U61" s="406"/>
      <c r="V61" s="406"/>
      <c r="W61" s="406"/>
      <c r="X61" s="407"/>
      <c r="Y61" s="80"/>
    </row>
    <row r="62" spans="1:25" ht="39.75" customHeight="1" thickTop="1" thickBot="1" x14ac:dyDescent="0.3">
      <c r="A62" s="80"/>
      <c r="C62" s="408" t="s">
        <v>364</v>
      </c>
      <c r="D62" s="408"/>
      <c r="E62" s="408"/>
      <c r="F62" s="408"/>
      <c r="G62" s="408" t="s">
        <v>365</v>
      </c>
      <c r="H62" s="408"/>
      <c r="I62" s="408"/>
      <c r="J62" s="408"/>
      <c r="K62" s="408"/>
      <c r="L62" s="408"/>
      <c r="M62" s="408"/>
      <c r="N62" s="408"/>
      <c r="O62" s="408"/>
      <c r="P62" s="408"/>
      <c r="Q62" s="408" t="s">
        <v>366</v>
      </c>
      <c r="R62" s="408"/>
      <c r="S62" s="408"/>
      <c r="T62" s="408"/>
      <c r="U62" s="408"/>
      <c r="V62" s="408"/>
      <c r="W62" s="408"/>
      <c r="X62" s="408"/>
      <c r="Y62" s="80"/>
    </row>
    <row r="63" spans="1:25" ht="35.1" customHeight="1" thickTop="1" thickBot="1" x14ac:dyDescent="0.3">
      <c r="A63" s="80"/>
      <c r="C63" s="399"/>
      <c r="D63" s="400"/>
      <c r="E63" s="400"/>
      <c r="F63" s="401"/>
      <c r="G63" s="399"/>
      <c r="H63" s="400"/>
      <c r="I63" s="400"/>
      <c r="J63" s="400"/>
      <c r="K63" s="400"/>
      <c r="L63" s="400"/>
      <c r="M63" s="400"/>
      <c r="N63" s="400"/>
      <c r="O63" s="400"/>
      <c r="P63" s="401"/>
      <c r="Q63" s="399"/>
      <c r="R63" s="400"/>
      <c r="S63" s="400"/>
      <c r="T63" s="400"/>
      <c r="U63" s="400"/>
      <c r="V63" s="400"/>
      <c r="W63" s="400"/>
      <c r="X63" s="401"/>
      <c r="Y63" s="80"/>
    </row>
    <row r="64" spans="1:25" ht="35.1" customHeight="1" thickTop="1" thickBot="1" x14ac:dyDescent="0.3">
      <c r="A64" s="80"/>
      <c r="C64" s="402"/>
      <c r="D64" s="403"/>
      <c r="E64" s="403"/>
      <c r="F64" s="404"/>
      <c r="G64" s="402"/>
      <c r="H64" s="403"/>
      <c r="I64" s="403"/>
      <c r="J64" s="403"/>
      <c r="K64" s="403"/>
      <c r="L64" s="403"/>
      <c r="M64" s="403"/>
      <c r="N64" s="403"/>
      <c r="O64" s="403"/>
      <c r="P64" s="404"/>
      <c r="Q64" s="402"/>
      <c r="R64" s="403"/>
      <c r="S64" s="403"/>
      <c r="T64" s="403"/>
      <c r="U64" s="403"/>
      <c r="V64" s="403"/>
      <c r="W64" s="403"/>
      <c r="X64" s="404"/>
      <c r="Y64" s="80"/>
    </row>
    <row r="65" spans="1:25" ht="35.1" customHeight="1" thickTop="1" thickBot="1" x14ac:dyDescent="0.3">
      <c r="A65" s="80"/>
      <c r="C65" s="402"/>
      <c r="D65" s="403"/>
      <c r="E65" s="403"/>
      <c r="F65" s="404"/>
      <c r="G65" s="402"/>
      <c r="H65" s="403"/>
      <c r="I65" s="403"/>
      <c r="J65" s="403"/>
      <c r="K65" s="403"/>
      <c r="L65" s="403"/>
      <c r="M65" s="403"/>
      <c r="N65" s="403"/>
      <c r="O65" s="403"/>
      <c r="P65" s="404"/>
      <c r="Q65" s="402"/>
      <c r="R65" s="403"/>
      <c r="S65" s="403"/>
      <c r="T65" s="403"/>
      <c r="U65" s="403"/>
      <c r="V65" s="403"/>
      <c r="W65" s="403"/>
      <c r="X65" s="404"/>
      <c r="Y65" s="80"/>
    </row>
    <row r="66" spans="1:25" ht="35.1" customHeight="1" thickTop="1" thickBot="1" x14ac:dyDescent="0.3">
      <c r="A66" s="80"/>
      <c r="C66" s="402"/>
      <c r="D66" s="403"/>
      <c r="E66" s="403"/>
      <c r="F66" s="404"/>
      <c r="G66" s="402"/>
      <c r="H66" s="403"/>
      <c r="I66" s="403"/>
      <c r="J66" s="403"/>
      <c r="K66" s="403"/>
      <c r="L66" s="403"/>
      <c r="M66" s="403"/>
      <c r="N66" s="403"/>
      <c r="O66" s="403"/>
      <c r="P66" s="404"/>
      <c r="Q66" s="402"/>
      <c r="R66" s="403"/>
      <c r="S66" s="403"/>
      <c r="T66" s="403"/>
      <c r="U66" s="403"/>
      <c r="V66" s="403"/>
      <c r="W66" s="403"/>
      <c r="X66" s="404"/>
      <c r="Y66" s="80"/>
    </row>
    <row r="67" spans="1:25" ht="35.1" customHeight="1" thickTop="1" thickBot="1" x14ac:dyDescent="0.3">
      <c r="A67" s="80"/>
      <c r="C67" s="405"/>
      <c r="D67" s="406"/>
      <c r="E67" s="406"/>
      <c r="F67" s="407"/>
      <c r="G67" s="405"/>
      <c r="H67" s="406"/>
      <c r="I67" s="406"/>
      <c r="J67" s="406"/>
      <c r="K67" s="406"/>
      <c r="L67" s="406"/>
      <c r="M67" s="406"/>
      <c r="N67" s="406"/>
      <c r="O67" s="406"/>
      <c r="P67" s="407"/>
      <c r="Q67" s="405"/>
      <c r="R67" s="406"/>
      <c r="S67" s="406"/>
      <c r="T67" s="406"/>
      <c r="U67" s="406"/>
      <c r="V67" s="406"/>
      <c r="W67" s="406"/>
      <c r="X67" s="407"/>
      <c r="Y67" s="80"/>
    </row>
    <row r="68" spans="1:25" ht="39.75" customHeight="1" thickTop="1" thickBot="1" x14ac:dyDescent="0.3">
      <c r="A68" s="80"/>
      <c r="C68" s="408" t="s">
        <v>367</v>
      </c>
      <c r="D68" s="408"/>
      <c r="E68" s="408"/>
      <c r="F68" s="408"/>
      <c r="G68" s="408" t="s">
        <v>368</v>
      </c>
      <c r="H68" s="408"/>
      <c r="I68" s="408"/>
      <c r="J68" s="408"/>
      <c r="K68" s="408"/>
      <c r="L68" s="408"/>
      <c r="M68" s="408"/>
      <c r="N68" s="408"/>
      <c r="O68" s="408"/>
      <c r="P68" s="408"/>
      <c r="Q68" s="408" t="s">
        <v>369</v>
      </c>
      <c r="R68" s="408"/>
      <c r="S68" s="408"/>
      <c r="T68" s="408"/>
      <c r="U68" s="408"/>
      <c r="V68" s="408"/>
      <c r="W68" s="408"/>
      <c r="X68" s="408"/>
      <c r="Y68" s="80"/>
    </row>
    <row r="69" spans="1:25" ht="35.1" customHeight="1" thickTop="1" thickBot="1" x14ac:dyDescent="0.3">
      <c r="A69" s="80"/>
      <c r="C69" s="386"/>
      <c r="D69" s="387"/>
      <c r="E69" s="387"/>
      <c r="F69" s="388"/>
      <c r="G69" s="386"/>
      <c r="H69" s="387"/>
      <c r="I69" s="387"/>
      <c r="J69" s="387"/>
      <c r="K69" s="387"/>
      <c r="L69" s="387"/>
      <c r="M69" s="387"/>
      <c r="N69" s="387"/>
      <c r="O69" s="387"/>
      <c r="P69" s="388"/>
      <c r="Q69" s="386"/>
      <c r="R69" s="387"/>
      <c r="S69" s="387"/>
      <c r="T69" s="387"/>
      <c r="U69" s="387"/>
      <c r="V69" s="387"/>
      <c r="W69" s="387"/>
      <c r="X69" s="388"/>
      <c r="Y69" s="80"/>
    </row>
    <row r="70" spans="1:25" ht="35.1" customHeight="1" thickTop="1" thickBot="1" x14ac:dyDescent="0.3">
      <c r="A70" s="80"/>
      <c r="C70" s="389"/>
      <c r="D70" s="390"/>
      <c r="E70" s="390"/>
      <c r="F70" s="391"/>
      <c r="G70" s="389"/>
      <c r="H70" s="390"/>
      <c r="I70" s="390"/>
      <c r="J70" s="390"/>
      <c r="K70" s="390"/>
      <c r="L70" s="390"/>
      <c r="M70" s="390"/>
      <c r="N70" s="390"/>
      <c r="O70" s="390"/>
      <c r="P70" s="391"/>
      <c r="Q70" s="389"/>
      <c r="R70" s="390"/>
      <c r="S70" s="390"/>
      <c r="T70" s="390"/>
      <c r="U70" s="390"/>
      <c r="V70" s="390"/>
      <c r="W70" s="390"/>
      <c r="X70" s="391"/>
      <c r="Y70" s="80"/>
    </row>
    <row r="71" spans="1:25" ht="35.1" customHeight="1" thickTop="1" thickBot="1" x14ac:dyDescent="0.3">
      <c r="A71" s="80"/>
      <c r="C71" s="389"/>
      <c r="D71" s="390"/>
      <c r="E71" s="390"/>
      <c r="F71" s="391"/>
      <c r="G71" s="389"/>
      <c r="H71" s="390"/>
      <c r="I71" s="390"/>
      <c r="J71" s="390"/>
      <c r="K71" s="390"/>
      <c r="L71" s="390"/>
      <c r="M71" s="390"/>
      <c r="N71" s="390"/>
      <c r="O71" s="390"/>
      <c r="P71" s="391"/>
      <c r="Q71" s="389"/>
      <c r="R71" s="390"/>
      <c r="S71" s="390"/>
      <c r="T71" s="390"/>
      <c r="U71" s="390"/>
      <c r="V71" s="390"/>
      <c r="W71" s="390"/>
      <c r="X71" s="391"/>
      <c r="Y71" s="80"/>
    </row>
    <row r="72" spans="1:25" ht="35.1" customHeight="1" thickTop="1" thickBot="1" x14ac:dyDescent="0.3">
      <c r="A72" s="80"/>
      <c r="C72" s="389"/>
      <c r="D72" s="390"/>
      <c r="E72" s="390"/>
      <c r="F72" s="391"/>
      <c r="G72" s="389"/>
      <c r="H72" s="390"/>
      <c r="I72" s="390"/>
      <c r="J72" s="390"/>
      <c r="K72" s="390"/>
      <c r="L72" s="390"/>
      <c r="M72" s="390"/>
      <c r="N72" s="390"/>
      <c r="O72" s="390"/>
      <c r="P72" s="391"/>
      <c r="Q72" s="389"/>
      <c r="R72" s="390"/>
      <c r="S72" s="390"/>
      <c r="T72" s="390"/>
      <c r="U72" s="390"/>
      <c r="V72" s="390"/>
      <c r="W72" s="390"/>
      <c r="X72" s="391"/>
      <c r="Y72" s="80"/>
    </row>
    <row r="73" spans="1:25" ht="35.1" customHeight="1" thickTop="1" thickBot="1" x14ac:dyDescent="0.3">
      <c r="A73" s="80"/>
      <c r="C73" s="389"/>
      <c r="D73" s="390"/>
      <c r="E73" s="390"/>
      <c r="F73" s="391"/>
      <c r="G73" s="389"/>
      <c r="H73" s="390"/>
      <c r="I73" s="390"/>
      <c r="J73" s="390"/>
      <c r="K73" s="390"/>
      <c r="L73" s="390"/>
      <c r="M73" s="390"/>
      <c r="N73" s="390"/>
      <c r="O73" s="390"/>
      <c r="P73" s="391"/>
      <c r="Q73" s="389"/>
      <c r="R73" s="390"/>
      <c r="S73" s="390"/>
      <c r="T73" s="390"/>
      <c r="U73" s="390"/>
      <c r="V73" s="390"/>
      <c r="W73" s="390"/>
      <c r="X73" s="391"/>
      <c r="Y73" s="80"/>
    </row>
    <row r="74" spans="1:25" ht="35.1" customHeight="1" thickTop="1" thickBot="1" x14ac:dyDescent="0.3">
      <c r="A74" s="80"/>
      <c r="C74" s="392"/>
      <c r="D74" s="393"/>
      <c r="E74" s="393"/>
      <c r="F74" s="394"/>
      <c r="G74" s="392"/>
      <c r="H74" s="393"/>
      <c r="I74" s="393"/>
      <c r="J74" s="393"/>
      <c r="K74" s="393"/>
      <c r="L74" s="393"/>
      <c r="M74" s="393"/>
      <c r="N74" s="393"/>
      <c r="O74" s="393"/>
      <c r="P74" s="394"/>
      <c r="Q74" s="392"/>
      <c r="R74" s="393"/>
      <c r="S74" s="393"/>
      <c r="T74" s="393"/>
      <c r="U74" s="393"/>
      <c r="V74" s="393"/>
      <c r="W74" s="393"/>
      <c r="X74" s="394"/>
      <c r="Y74" s="80"/>
    </row>
    <row r="75" spans="1:25" ht="16.5" thickTop="1" x14ac:dyDescent="0.25">
      <c r="A75" s="80"/>
      <c r="B75" s="82"/>
      <c r="C75" s="80" t="str">
        <f>C36&amp;" - Seite 2"</f>
        <v>Das Lied von Eis und Feuer Charakterbogen - Seite 2</v>
      </c>
      <c r="D75" s="81"/>
      <c r="E75" s="81"/>
      <c r="F75" s="81"/>
      <c r="G75" s="81"/>
      <c r="H75" s="80"/>
      <c r="I75" s="80"/>
      <c r="J75" s="80"/>
      <c r="K75" s="80"/>
      <c r="L75" s="80"/>
      <c r="M75" s="82"/>
      <c r="N75" s="80"/>
      <c r="O75" s="80"/>
      <c r="P75" s="80"/>
      <c r="Q75" s="80"/>
      <c r="R75" s="80"/>
      <c r="S75" s="80"/>
      <c r="T75" s="80"/>
      <c r="U75" s="80"/>
      <c r="V75" s="81"/>
      <c r="W75" s="398" t="str">
        <f>W36</f>
        <v>Version 24.8.17 © Jaegers.Net</v>
      </c>
      <c r="X75" s="398"/>
      <c r="Y75" s="80"/>
    </row>
  </sheetData>
  <sheetProtection algorithmName="SHA-512" hashValue="EAGxwmW2HgSFQI/SKKAs/oYEQJqQ0CapeGmnYr5Yhna/m/3AtptU6rTjsFkrKdLXdPrfEHTi+Zzp1KQ0xr/9EA==" saltValue="PoP4nmgeKhZTD2wZ81vfdg==" spinCount="100000" sheet="1" objects="1" scenarios="1"/>
  <mergeCells count="129">
    <mergeCell ref="D2:W2"/>
    <mergeCell ref="W6:X6"/>
    <mergeCell ref="W7:X7"/>
    <mergeCell ref="W8:X8"/>
    <mergeCell ref="D3:E3"/>
    <mergeCell ref="X1:X2"/>
    <mergeCell ref="E13:L13"/>
    <mergeCell ref="C1:W1"/>
    <mergeCell ref="W9:X9"/>
    <mergeCell ref="W10:X10"/>
    <mergeCell ref="W11:X11"/>
    <mergeCell ref="W12:X12"/>
    <mergeCell ref="W13:X13"/>
    <mergeCell ref="O6:V6"/>
    <mergeCell ref="O7:V7"/>
    <mergeCell ref="E5:L5"/>
    <mergeCell ref="O9:V9"/>
    <mergeCell ref="E24:L24"/>
    <mergeCell ref="N21:V23"/>
    <mergeCell ref="O5:V5"/>
    <mergeCell ref="N24:V24"/>
    <mergeCell ref="W24:X24"/>
    <mergeCell ref="W18:X18"/>
    <mergeCell ref="N17:V17"/>
    <mergeCell ref="W17:X17"/>
    <mergeCell ref="N19:V19"/>
    <mergeCell ref="W19:X19"/>
    <mergeCell ref="W20:X20"/>
    <mergeCell ref="N20:V20"/>
    <mergeCell ref="N18:V18"/>
    <mergeCell ref="O10:V10"/>
    <mergeCell ref="O11:V11"/>
    <mergeCell ref="O12:V12"/>
    <mergeCell ref="O13:V13"/>
    <mergeCell ref="O14:V14"/>
    <mergeCell ref="D27:E27"/>
    <mergeCell ref="D26:E26"/>
    <mergeCell ref="D28:E28"/>
    <mergeCell ref="D29:E29"/>
    <mergeCell ref="D30:E30"/>
    <mergeCell ref="W16:X16"/>
    <mergeCell ref="N16:V16"/>
    <mergeCell ref="C16:L16"/>
    <mergeCell ref="F3:I3"/>
    <mergeCell ref="J3:L3"/>
    <mergeCell ref="C17:L21"/>
    <mergeCell ref="C22:D24"/>
    <mergeCell ref="E6:L6"/>
    <mergeCell ref="E7:L7"/>
    <mergeCell ref="E8:L8"/>
    <mergeCell ref="E9:L9"/>
    <mergeCell ref="E10:L10"/>
    <mergeCell ref="E11:L11"/>
    <mergeCell ref="E12:L12"/>
    <mergeCell ref="W14:X14"/>
    <mergeCell ref="W21:X23"/>
    <mergeCell ref="W5:X5"/>
    <mergeCell ref="C4:X4"/>
    <mergeCell ref="O8:V8"/>
    <mergeCell ref="W27:X27"/>
    <mergeCell ref="W32:W33"/>
    <mergeCell ref="X32:X33"/>
    <mergeCell ref="W34:W35"/>
    <mergeCell ref="X34:X35"/>
    <mergeCell ref="O34:O35"/>
    <mergeCell ref="V34:V35"/>
    <mergeCell ref="P34:Q34"/>
    <mergeCell ref="F28:I28"/>
    <mergeCell ref="J28:V28"/>
    <mergeCell ref="F29:I29"/>
    <mergeCell ref="J29:V29"/>
    <mergeCell ref="O32:V32"/>
    <mergeCell ref="P35:U35"/>
    <mergeCell ref="O33:P33"/>
    <mergeCell ref="Q33:R33"/>
    <mergeCell ref="S33:T33"/>
    <mergeCell ref="U33:V33"/>
    <mergeCell ref="F26:I26"/>
    <mergeCell ref="J26:V26"/>
    <mergeCell ref="F27:I27"/>
    <mergeCell ref="J27:V27"/>
    <mergeCell ref="C25:V25"/>
    <mergeCell ref="D31:E31"/>
    <mergeCell ref="E14:L14"/>
    <mergeCell ref="E15:X15"/>
    <mergeCell ref="W25:X25"/>
    <mergeCell ref="C39:L39"/>
    <mergeCell ref="C40:L40"/>
    <mergeCell ref="C41:L41"/>
    <mergeCell ref="C42:L42"/>
    <mergeCell ref="O39:V39"/>
    <mergeCell ref="O40:V40"/>
    <mergeCell ref="N41:X41"/>
    <mergeCell ref="C38:L38"/>
    <mergeCell ref="N38:X38"/>
    <mergeCell ref="C32:E35"/>
    <mergeCell ref="N32:N35"/>
    <mergeCell ref="F30:I30"/>
    <mergeCell ref="J30:V30"/>
    <mergeCell ref="F31:I31"/>
    <mergeCell ref="J31:V31"/>
    <mergeCell ref="R34:S34"/>
    <mergeCell ref="T34:U34"/>
    <mergeCell ref="F32:L32"/>
    <mergeCell ref="F35:L35"/>
    <mergeCell ref="C69:F74"/>
    <mergeCell ref="G69:P74"/>
    <mergeCell ref="Q69:X74"/>
    <mergeCell ref="O3:W3"/>
    <mergeCell ref="W36:X36"/>
    <mergeCell ref="W75:X75"/>
    <mergeCell ref="C63:F67"/>
    <mergeCell ref="G63:P67"/>
    <mergeCell ref="Q63:X67"/>
    <mergeCell ref="C68:F68"/>
    <mergeCell ref="G68:P68"/>
    <mergeCell ref="Q68:X68"/>
    <mergeCell ref="C54:X54"/>
    <mergeCell ref="C55:X61"/>
    <mergeCell ref="C62:F62"/>
    <mergeCell ref="Q62:X62"/>
    <mergeCell ref="G62:P62"/>
    <mergeCell ref="C43:L43"/>
    <mergeCell ref="N42:X44"/>
    <mergeCell ref="N45:X45"/>
    <mergeCell ref="N46:X48"/>
    <mergeCell ref="N49:X49"/>
    <mergeCell ref="N50:X53"/>
    <mergeCell ref="C44:L53"/>
  </mergeCells>
  <printOptions horizontalCentered="1"/>
  <pageMargins left="0.23622047244094491" right="0.23622047244094491" top="0.74803149606299213" bottom="0.74803149606299213" header="0.31496062992125984" footer="0.31496062992125984"/>
  <pageSetup paperSize="9" scale="57" fitToHeight="2" orientation="portrait" horizontalDpi="0" verticalDpi="0" r:id="rId1"/>
  <rowBreaks count="1" manualBreakCount="1">
    <brk id="36" max="24"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'_Tabellen und Listen'!$A$315:$A$329</xm:f>
          </x14:formula1>
          <xm:sqref>W26</xm:sqref>
        </x14:dataValidation>
        <x14:dataValidation type="list" allowBlank="1" showInputMessage="1" showErrorMessage="1">
          <x14:formula1>
            <xm:f>'_Tabellen und Listen'!$A$332:$A$340</xm:f>
          </x14:formula1>
          <xm:sqref>W28:W29</xm:sqref>
        </x14:dataValidation>
        <x14:dataValidation type="list" allowBlank="1" showInputMessage="1" showErrorMessage="1">
          <x14:formula1>
            <xm:f>'_Tabellen und Listen'!$A$402:$A$405</xm:f>
          </x14:formula1>
          <xm:sqref>C27:C31</xm:sqref>
        </x14:dataValidation>
        <x14:dataValidation type="list" allowBlank="1" showInputMessage="1" showErrorMessage="1">
          <x14:formula1>
            <xm:f>'_Tabellen und Listen'!A$342:A$400</xm:f>
          </x14:formula1>
          <xm:sqref>D27:D31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showZeros="0" view="pageLayout" zoomScaleNormal="100" workbookViewId="0">
      <selection activeCell="B25" sqref="B25:F25"/>
    </sheetView>
  </sheetViews>
  <sheetFormatPr baseColWidth="10" defaultRowHeight="15" x14ac:dyDescent="0.25"/>
  <cols>
    <col min="1" max="1" width="3" style="3" bestFit="1" customWidth="1"/>
    <col min="2" max="2" width="17.28515625" style="3" bestFit="1" customWidth="1"/>
    <col min="3" max="6" width="11.42578125" style="3"/>
    <col min="7" max="7" width="3" style="3" customWidth="1"/>
    <col min="8" max="8" width="11.42578125" style="3" customWidth="1"/>
    <col min="9" max="9" width="49.7109375" style="124" customWidth="1"/>
    <col min="10" max="16384" width="11.42578125" style="3"/>
  </cols>
  <sheetData>
    <row r="1" spans="1:9" ht="33.75" x14ac:dyDescent="0.5">
      <c r="A1" s="486" t="str">
        <f>Charakterbogen!D2</f>
        <v/>
      </c>
      <c r="B1" s="486"/>
      <c r="C1" s="486"/>
      <c r="D1" s="486"/>
      <c r="E1" s="486"/>
      <c r="F1" s="486"/>
      <c r="G1" s="486"/>
      <c r="I1" s="222" t="s">
        <v>717</v>
      </c>
    </row>
    <row r="3" spans="1:9" ht="19.5" thickBot="1" x14ac:dyDescent="0.35">
      <c r="B3" s="485" t="s">
        <v>23</v>
      </c>
      <c r="C3" s="485"/>
      <c r="D3" s="485"/>
      <c r="E3" s="485"/>
      <c r="F3" s="485"/>
    </row>
    <row r="4" spans="1:9" x14ac:dyDescent="0.25">
      <c r="A4" s="216">
        <v>1</v>
      </c>
      <c r="B4" s="215" t="str">
        <f>IFERROR(VLOOKUP(A4,'2. Fähigkeiten'!K16:L121,2,FALSE),"")</f>
        <v/>
      </c>
      <c r="C4" s="215" t="str">
        <f>IFERROR(VLOOKUP(B4,'4. Nachteile'!A82:B100,2,FALSE),"")</f>
        <v/>
      </c>
      <c r="D4" s="487" t="str">
        <f>IFERROR(VLOOKUP(A4,'2. Fähigkeiten'!$K$16:$M$121,3,FALSE),"")</f>
        <v/>
      </c>
      <c r="E4" s="487"/>
      <c r="F4" s="487"/>
    </row>
    <row r="5" spans="1:9" x14ac:dyDescent="0.25">
      <c r="A5" s="216">
        <v>2</v>
      </c>
      <c r="B5" s="3" t="str">
        <f>IFERROR(VLOOKUP(A5,'2. Fähigkeiten'!K17:L122,2,FALSE),"")</f>
        <v/>
      </c>
      <c r="C5" s="3" t="str">
        <f>IFERROR(VLOOKUP(B5,'4. Nachteile'!A83:B101,2,FALSE),"")</f>
        <v/>
      </c>
      <c r="D5" s="488" t="str">
        <f>IFERROR(VLOOKUP(A5,'2. Fähigkeiten'!$K$16:$M$121,3,FALSE),"")</f>
        <v/>
      </c>
      <c r="E5" s="488"/>
      <c r="F5" s="488"/>
    </row>
    <row r="6" spans="1:9" x14ac:dyDescent="0.25">
      <c r="A6" s="216">
        <v>3</v>
      </c>
      <c r="B6" s="215" t="str">
        <f>IFERROR(VLOOKUP(A6,'2. Fähigkeiten'!K18:L123,2,FALSE),"")</f>
        <v/>
      </c>
      <c r="C6" s="215" t="str">
        <f>IFERROR(VLOOKUP(B6,'4. Nachteile'!A84:B102,2,FALSE),"")</f>
        <v/>
      </c>
      <c r="D6" s="484" t="str">
        <f>IFERROR(VLOOKUP(A6,'2. Fähigkeiten'!$K$16:$M$121,3,FALSE),"")</f>
        <v/>
      </c>
      <c r="E6" s="484"/>
      <c r="F6" s="484"/>
    </row>
    <row r="7" spans="1:9" x14ac:dyDescent="0.25">
      <c r="A7" s="216">
        <v>4</v>
      </c>
      <c r="B7" s="3" t="str">
        <f>IFERROR(VLOOKUP(A7,'2. Fähigkeiten'!K19:L124,2,FALSE),"")</f>
        <v/>
      </c>
      <c r="C7" s="3" t="str">
        <f>IFERROR(VLOOKUP(B7,'4. Nachteile'!A85:B103,2,FALSE),"")</f>
        <v/>
      </c>
      <c r="D7" s="488" t="str">
        <f>IFERROR(VLOOKUP(A7,'2. Fähigkeiten'!$K$16:$M$121,3,FALSE),"")</f>
        <v/>
      </c>
      <c r="E7" s="488"/>
      <c r="F7" s="488"/>
    </row>
    <row r="8" spans="1:9" x14ac:dyDescent="0.25">
      <c r="A8" s="216">
        <v>5</v>
      </c>
      <c r="B8" s="215" t="str">
        <f>IFERROR(VLOOKUP(A8,'2. Fähigkeiten'!K20:L125,2,FALSE),"")</f>
        <v/>
      </c>
      <c r="C8" s="215" t="str">
        <f>IFERROR(VLOOKUP(B8,'4. Nachteile'!A86:B104,2,FALSE),"")</f>
        <v/>
      </c>
      <c r="D8" s="484" t="str">
        <f>IFERROR(VLOOKUP(A8,'2. Fähigkeiten'!$K$16:$M$121,3,FALSE),"")</f>
        <v/>
      </c>
      <c r="E8" s="484"/>
      <c r="F8" s="484"/>
    </row>
    <row r="9" spans="1:9" x14ac:dyDescent="0.25">
      <c r="A9" s="216">
        <v>6</v>
      </c>
      <c r="B9" s="3" t="str">
        <f>IFERROR(VLOOKUP(A9,'2. Fähigkeiten'!K21:L126,2,FALSE),"")</f>
        <v/>
      </c>
      <c r="C9" s="3" t="str">
        <f>IFERROR(VLOOKUP(B9,'4. Nachteile'!A87:B105,2,FALSE),"")</f>
        <v/>
      </c>
      <c r="D9" s="488" t="str">
        <f>IFERROR(VLOOKUP(A9,'2. Fähigkeiten'!$K$16:$M$121,3,FALSE),"")</f>
        <v/>
      </c>
      <c r="E9" s="488"/>
      <c r="F9" s="488"/>
    </row>
    <row r="10" spans="1:9" x14ac:dyDescent="0.25">
      <c r="A10" s="216">
        <v>7</v>
      </c>
      <c r="B10" s="215" t="str">
        <f>IFERROR(VLOOKUP(A10,'2. Fähigkeiten'!K22:L127,2,FALSE),"")</f>
        <v/>
      </c>
      <c r="C10" s="215" t="str">
        <f>IFERROR(VLOOKUP(B10,'4. Nachteile'!A88:B106,2,FALSE),"")</f>
        <v/>
      </c>
      <c r="D10" s="484" t="str">
        <f>IFERROR(VLOOKUP(A10,'2. Fähigkeiten'!$K$16:$M$121,3,FALSE),"")</f>
        <v/>
      </c>
      <c r="E10" s="484"/>
      <c r="F10" s="484"/>
    </row>
    <row r="11" spans="1:9" x14ac:dyDescent="0.25">
      <c r="A11" s="216">
        <v>8</v>
      </c>
      <c r="B11" s="3" t="str">
        <f>IFERROR(VLOOKUP(A11,'2. Fähigkeiten'!K23:L128,2,FALSE),"")</f>
        <v/>
      </c>
      <c r="C11" s="3" t="str">
        <f>IFERROR(VLOOKUP(B11,'4. Nachteile'!A89:B107,2,FALSE),"")</f>
        <v/>
      </c>
      <c r="D11" s="488" t="str">
        <f>IFERROR(VLOOKUP(A11,'2. Fähigkeiten'!$K$16:$M$121,3,FALSE),"")</f>
        <v/>
      </c>
      <c r="E11" s="488"/>
      <c r="F11" s="488"/>
    </row>
    <row r="12" spans="1:9" x14ac:dyDescent="0.25">
      <c r="A12" s="216">
        <v>9</v>
      </c>
      <c r="B12" s="215" t="str">
        <f>IFERROR(VLOOKUP(A12,'2. Fähigkeiten'!K24:L129,2,FALSE),"")</f>
        <v/>
      </c>
      <c r="C12" s="215" t="str">
        <f>IFERROR(VLOOKUP(B12,'4. Nachteile'!A90:B108,2,FALSE),"")</f>
        <v/>
      </c>
      <c r="D12" s="484" t="str">
        <f>IFERROR(VLOOKUP(A12,'2. Fähigkeiten'!$K$16:$M$121,3,FALSE),"")</f>
        <v/>
      </c>
      <c r="E12" s="484"/>
      <c r="F12" s="484"/>
    </row>
    <row r="13" spans="1:9" x14ac:dyDescent="0.25">
      <c r="A13" s="216">
        <v>10</v>
      </c>
      <c r="B13" s="3" t="str">
        <f>IFERROR(VLOOKUP(A13,'2. Fähigkeiten'!K25:L130,2,FALSE),"")</f>
        <v/>
      </c>
      <c r="C13" s="3" t="str">
        <f>IFERROR(VLOOKUP(B13,'4. Nachteile'!A91:B109,2,FALSE),"")</f>
        <v/>
      </c>
      <c r="D13" s="488" t="str">
        <f>IFERROR(VLOOKUP(A13,'2. Fähigkeiten'!$K$16:$M$121,3,FALSE),"")</f>
        <v/>
      </c>
      <c r="E13" s="488"/>
      <c r="F13" s="488"/>
    </row>
    <row r="14" spans="1:9" x14ac:dyDescent="0.25">
      <c r="A14" s="216">
        <v>11</v>
      </c>
      <c r="B14" s="215" t="str">
        <f>IFERROR(VLOOKUP(A14,'2. Fähigkeiten'!K26:L131,2,FALSE),"")</f>
        <v/>
      </c>
      <c r="C14" s="215" t="str">
        <f>IFERROR(VLOOKUP(B14,'4. Nachteile'!A92:B110,2,FALSE),"")</f>
        <v/>
      </c>
      <c r="D14" s="484" t="str">
        <f>IFERROR(VLOOKUP(A14,'2. Fähigkeiten'!$K$16:$M$121,3,FALSE),"")</f>
        <v/>
      </c>
      <c r="E14" s="484"/>
      <c r="F14" s="484"/>
    </row>
    <row r="15" spans="1:9" x14ac:dyDescent="0.25">
      <c r="B15" s="3" t="s">
        <v>707</v>
      </c>
      <c r="C15" s="3">
        <v>2</v>
      </c>
      <c r="D15" s="488"/>
      <c r="E15" s="488"/>
      <c r="F15" s="488"/>
    </row>
    <row r="16" spans="1:9" ht="19.5" thickBot="1" x14ac:dyDescent="0.35">
      <c r="B16" s="485" t="s">
        <v>340</v>
      </c>
      <c r="C16" s="485"/>
      <c r="D16" s="485"/>
      <c r="E16" s="485"/>
      <c r="F16" s="485"/>
    </row>
    <row r="17" spans="2:11" x14ac:dyDescent="0.25">
      <c r="B17" s="487" t="str">
        <f>IF('3. Vorteile'!L257&lt;&gt;"","Vorteile: ","")&amp;IFERROR(RIGHT('3. Vorteile'!L257,LEN('3. Vorteile'!L257)-2),"")</f>
        <v/>
      </c>
      <c r="C17" s="487"/>
      <c r="D17" s="487"/>
      <c r="E17" s="487"/>
      <c r="F17" s="487"/>
    </row>
    <row r="18" spans="2:11" x14ac:dyDescent="0.25">
      <c r="B18" s="488" t="str">
        <f>IF('4. Nachteile'!L74&lt;&gt;"","Nachteile: ","")&amp;IFERROR(RIGHT('4. Nachteile'!L74,LEN('4. Nachteile'!L74)-2),"")</f>
        <v/>
      </c>
      <c r="C18" s="488"/>
      <c r="D18" s="488"/>
      <c r="E18" s="488"/>
      <c r="F18" s="488"/>
    </row>
    <row r="19" spans="2:11" ht="19.5" thickBot="1" x14ac:dyDescent="0.35">
      <c r="B19" s="485" t="s">
        <v>709</v>
      </c>
      <c r="C19" s="485"/>
      <c r="D19" s="485"/>
      <c r="E19" s="485"/>
      <c r="F19" s="485"/>
    </row>
    <row r="20" spans="2:11" ht="30" x14ac:dyDescent="0.25">
      <c r="B20" s="217" t="s">
        <v>710</v>
      </c>
      <c r="C20" s="218" t="str">
        <f>Charakterbogen!W18</f>
        <v>ungerüstet 6, gerüstet 6 zzgl. Abwehrboni</v>
      </c>
      <c r="D20" s="217" t="s">
        <v>711</v>
      </c>
      <c r="E20" s="490">
        <f>Charakterbogen!N18</f>
        <v>6</v>
      </c>
      <c r="F20" s="490"/>
    </row>
    <row r="21" spans="2:11" x14ac:dyDescent="0.25">
      <c r="B21" s="118" t="s">
        <v>345</v>
      </c>
      <c r="C21" s="118">
        <f>Charakterbogen!W21</f>
        <v>6</v>
      </c>
      <c r="D21" s="118" t="s">
        <v>344</v>
      </c>
      <c r="E21" s="491">
        <f>Charakterbogen!N21</f>
        <v>6</v>
      </c>
      <c r="F21" s="491"/>
    </row>
    <row r="22" spans="2:11" x14ac:dyDescent="0.25">
      <c r="B22" s="489" t="s">
        <v>261</v>
      </c>
      <c r="C22" s="489"/>
      <c r="D22" s="489">
        <f>'3. Vorteile'!B9</f>
        <v>3</v>
      </c>
      <c r="E22" s="489"/>
      <c r="F22" s="489"/>
    </row>
    <row r="23" spans="2:11" ht="30" customHeight="1" x14ac:dyDescent="0.25">
      <c r="B23" s="488" t="s">
        <v>712</v>
      </c>
      <c r="C23" s="488"/>
      <c r="D23" s="488"/>
      <c r="E23" s="488"/>
      <c r="F23" s="488"/>
      <c r="I23" s="124" t="s">
        <v>718</v>
      </c>
    </row>
    <row r="24" spans="2:11" ht="19.5" thickBot="1" x14ac:dyDescent="0.35">
      <c r="B24" s="485" t="s">
        <v>713</v>
      </c>
      <c r="C24" s="485"/>
      <c r="D24" s="485"/>
      <c r="E24" s="485"/>
      <c r="F24" s="485"/>
    </row>
    <row r="25" spans="2:11" ht="15.75" thickBot="1" x14ac:dyDescent="0.3">
      <c r="B25" s="492" t="str">
        <f>IF(Charakterbogen!W26&lt;&gt;"",Charakterbogen!W26&amp;": RW "&amp;Charakterbogen!W31&amp;" * RA -"&amp;Charakterbogen!W34&amp;" * Last ","")</f>
        <v xml:space="preserve">Roben, Gewänder: RW 1 * RA -3 * Last </v>
      </c>
      <c r="C25" s="492"/>
      <c r="D25" s="492"/>
      <c r="E25" s="492"/>
      <c r="F25" s="492"/>
      <c r="I25" s="491" t="s">
        <v>715</v>
      </c>
      <c r="K25" s="3" t="s">
        <v>716</v>
      </c>
    </row>
    <row r="26" spans="2:11" x14ac:dyDescent="0.25">
      <c r="B26" s="219" t="str">
        <f>IF(Charakterbogen!D27&lt;&gt;"",Charakterbogen!D27,"")</f>
        <v>Turmschild</v>
      </c>
      <c r="C26" s="219" t="str">
        <f>IF(B26&lt;&gt;"",Charakterbogen!F27,"")</f>
        <v>Kampf, Schilde 2B, daraus resultierend 0W</v>
      </c>
      <c r="D26" s="219" t="str">
        <f>IF(Charakterbogen!J27&lt;&gt;"",Charakterbogen!J27&amp;" Schaden","")</f>
        <v>Grundschaden: Athletik -2 = 1 / Eigenschaften: Abwehr +6, Last 2 Schaden</v>
      </c>
      <c r="E26" s="498"/>
      <c r="F26" s="498"/>
      <c r="I26" s="491"/>
    </row>
    <row r="27" spans="2:11" x14ac:dyDescent="0.25">
      <c r="B27" s="220" t="str">
        <f>IF(Charakterbogen!C28&lt;&gt;"",Charakterbogen!C28,"")</f>
        <v/>
      </c>
      <c r="C27" s="220" t="str">
        <f>IF(B27&lt;&gt;"",Charakterbogen!F28,"")</f>
        <v/>
      </c>
      <c r="D27" s="220" t="str">
        <f>IF(Charakterbogen!J28&lt;&gt;"",Charakterbogen!J28&amp;" Schaden","")</f>
        <v/>
      </c>
      <c r="E27" s="499"/>
      <c r="F27" s="499"/>
      <c r="I27" s="491"/>
    </row>
    <row r="28" spans="2:11" x14ac:dyDescent="0.25">
      <c r="B28" s="221" t="str">
        <f>IF(Charakterbogen!C29&lt;&gt;"",Charakterbogen!C29,"")</f>
        <v/>
      </c>
      <c r="C28" s="221" t="str">
        <f>IF(B28&lt;&gt;"",Charakterbogen!F29,"")</f>
        <v/>
      </c>
      <c r="D28" s="221" t="str">
        <f>IF(Charakterbogen!J29&lt;&gt;"",Charakterbogen!J29&amp;" Schaden","")</f>
        <v/>
      </c>
      <c r="E28" s="500"/>
      <c r="F28" s="500"/>
      <c r="I28" s="491"/>
    </row>
    <row r="29" spans="2:11" x14ac:dyDescent="0.25">
      <c r="B29" s="220" t="str">
        <f>IF(Charakterbogen!C30&lt;&gt;"",Charakterbogen!C30,"")</f>
        <v/>
      </c>
      <c r="C29" s="220" t="str">
        <f>IF(B29&lt;&gt;"",Charakterbogen!F30,"")</f>
        <v/>
      </c>
      <c r="D29" s="220" t="str">
        <f>IF(Charakterbogen!J30&lt;&gt;"",Charakterbogen!J30&amp;" Schaden","")</f>
        <v/>
      </c>
      <c r="E29" s="499"/>
      <c r="F29" s="499"/>
      <c r="I29" s="491"/>
    </row>
    <row r="30" spans="2:11" x14ac:dyDescent="0.25">
      <c r="B30" s="221" t="str">
        <f>IF(Charakterbogen!C31&lt;&gt;"",Charakterbogen!C31,"")</f>
        <v/>
      </c>
      <c r="C30" s="221" t="str">
        <f>IF(B30&lt;&gt;"",Charakterbogen!F31,"")</f>
        <v/>
      </c>
      <c r="D30" s="221" t="str">
        <f>IF(Charakterbogen!J31&lt;&gt;"",Charakterbogen!J31&amp;" Schaden","")</f>
        <v/>
      </c>
      <c r="E30" s="500"/>
      <c r="F30" s="500"/>
      <c r="I30" s="491"/>
    </row>
    <row r="31" spans="2:11" ht="15.75" thickBot="1" x14ac:dyDescent="0.3">
      <c r="B31" s="6"/>
      <c r="C31" s="6"/>
      <c r="D31" s="6"/>
      <c r="E31" s="6"/>
      <c r="F31" s="6"/>
      <c r="I31" s="491"/>
    </row>
    <row r="32" spans="2:11" ht="30" customHeight="1" thickTop="1" x14ac:dyDescent="0.25">
      <c r="B32" s="493" t="s">
        <v>714</v>
      </c>
      <c r="C32" s="495">
        <f>Charakterbogen!C44</f>
        <v>0</v>
      </c>
      <c r="D32" s="495"/>
      <c r="E32" s="495"/>
      <c r="F32" s="495"/>
      <c r="I32" s="497"/>
    </row>
    <row r="33" spans="2:9" ht="30" customHeight="1" thickBot="1" x14ac:dyDescent="0.3">
      <c r="B33" s="494"/>
      <c r="C33" s="496"/>
      <c r="D33" s="496"/>
      <c r="E33" s="496"/>
      <c r="F33" s="496"/>
      <c r="I33" s="497"/>
    </row>
    <row r="34" spans="2:9" ht="15.75" thickTop="1" x14ac:dyDescent="0.25"/>
  </sheetData>
  <sheetProtection algorithmName="SHA-512" hashValue="5/3i9OULYVde6zHzL20nKFv2BUJV2+g8wn00jKW5Wva45yV0bQqbPT4YiO2vUhNSC98OKi0f29ppPoj9VLYDYw==" saltValue="VkYHzcnYjLe+kV43WwRB9Q==" spinCount="100000" sheet="1" objects="1" scenarios="1"/>
  <mergeCells count="34">
    <mergeCell ref="B24:F24"/>
    <mergeCell ref="B25:F25"/>
    <mergeCell ref="B32:B33"/>
    <mergeCell ref="C32:F33"/>
    <mergeCell ref="I32:I33"/>
    <mergeCell ref="I25:I31"/>
    <mergeCell ref="E26:F26"/>
    <mergeCell ref="E27:F27"/>
    <mergeCell ref="E28:F28"/>
    <mergeCell ref="E29:F29"/>
    <mergeCell ref="E30:F30"/>
    <mergeCell ref="B23:F23"/>
    <mergeCell ref="D13:F13"/>
    <mergeCell ref="D14:F14"/>
    <mergeCell ref="D15:F15"/>
    <mergeCell ref="B16:F16"/>
    <mergeCell ref="B17:F17"/>
    <mergeCell ref="B18:F18"/>
    <mergeCell ref="B19:F19"/>
    <mergeCell ref="B22:C22"/>
    <mergeCell ref="D22:F22"/>
    <mergeCell ref="E20:F20"/>
    <mergeCell ref="E21:F21"/>
    <mergeCell ref="D12:F12"/>
    <mergeCell ref="B3:F3"/>
    <mergeCell ref="A1:G1"/>
    <mergeCell ref="D4:F4"/>
    <mergeCell ref="D5:F5"/>
    <mergeCell ref="D6:F6"/>
    <mergeCell ref="D7:F7"/>
    <mergeCell ref="D8:F8"/>
    <mergeCell ref="D9:F9"/>
    <mergeCell ref="D10:F10"/>
    <mergeCell ref="D11:F11"/>
  </mergeCells>
  <hyperlinks>
    <hyperlink ref="I1" location="Charakterbogen!A1" display="Die Werte für diesen Bogen werden zum Teil aus den Eingaben des Charakterbogens gewonnen."/>
  </hyperlinks>
  <pageMargins left="0.7" right="0.7" top="0.78740157499999996" bottom="0.78740157499999996" header="0.3" footer="0.3"/>
  <pageSetup paperSize="9" scale="84"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showZeros="0" zoomScale="80" zoomScaleNormal="80" workbookViewId="0">
      <selection activeCell="X34" sqref="X34:X35"/>
    </sheetView>
  </sheetViews>
  <sheetFormatPr baseColWidth="10" defaultRowHeight="15.75" x14ac:dyDescent="0.25"/>
  <cols>
    <col min="1" max="1" width="4.7109375" style="65" customWidth="1"/>
    <col min="2" max="2" width="3.28515625" style="70" hidden="1" customWidth="1"/>
    <col min="3" max="3" width="16" style="65" customWidth="1"/>
    <col min="4" max="4" width="16" style="66" customWidth="1"/>
    <col min="5" max="7" width="5.7109375" style="66" customWidth="1"/>
    <col min="8" max="12" width="5.7109375" style="65" customWidth="1"/>
    <col min="13" max="13" width="3.28515625" style="70" hidden="1" customWidth="1"/>
    <col min="14" max="14" width="16" style="65" customWidth="1"/>
    <col min="15" max="21" width="2" style="65" customWidth="1"/>
    <col min="22" max="22" width="2" style="66" customWidth="1"/>
    <col min="23" max="24" width="25.28515625" style="65" customWidth="1"/>
    <col min="25" max="25" width="4.7109375" style="65" customWidth="1"/>
    <col min="26" max="26" width="34.5703125" style="65" customWidth="1"/>
    <col min="27" max="16384" width="11.42578125" style="65"/>
  </cols>
  <sheetData>
    <row r="1" spans="1:25" ht="16.5" customHeight="1" thickBot="1" x14ac:dyDescent="0.3">
      <c r="A1" s="80"/>
      <c r="C1" s="483"/>
      <c r="D1" s="483"/>
      <c r="E1" s="483"/>
      <c r="F1" s="483"/>
      <c r="G1" s="483"/>
      <c r="H1" s="483"/>
      <c r="I1" s="483"/>
      <c r="J1" s="483"/>
      <c r="K1" s="483"/>
      <c r="L1" s="483"/>
      <c r="M1" s="483"/>
      <c r="N1" s="483"/>
      <c r="O1" s="483"/>
      <c r="P1" s="483"/>
      <c r="Q1" s="483"/>
      <c r="R1" s="483"/>
      <c r="S1" s="483"/>
      <c r="T1" s="483"/>
      <c r="U1" s="483"/>
      <c r="V1" s="483"/>
      <c r="W1" s="483"/>
      <c r="X1" s="482" t="s">
        <v>370</v>
      </c>
      <c r="Y1" s="80"/>
    </row>
    <row r="2" spans="1:25" ht="44.1" customHeight="1" thickTop="1" thickBot="1" x14ac:dyDescent="0.3">
      <c r="A2" s="80"/>
      <c r="C2" s="229" t="s">
        <v>332</v>
      </c>
      <c r="D2" s="456" t="str">
        <f>IF('1. Allgemeines'!B13&lt;&gt;"",'1. Allgemeines'!H13&amp;" "&amp;Bastardname,"")</f>
        <v/>
      </c>
      <c r="E2" s="456"/>
      <c r="F2" s="456"/>
      <c r="G2" s="456"/>
      <c r="H2" s="456"/>
      <c r="I2" s="456"/>
      <c r="J2" s="456"/>
      <c r="K2" s="456"/>
      <c r="L2" s="456"/>
      <c r="M2" s="456"/>
      <c r="N2" s="456"/>
      <c r="O2" s="456"/>
      <c r="P2" s="456"/>
      <c r="Q2" s="456"/>
      <c r="R2" s="456"/>
      <c r="S2" s="456"/>
      <c r="T2" s="456"/>
      <c r="U2" s="456"/>
      <c r="V2" s="456"/>
      <c r="W2" s="456"/>
      <c r="X2" s="482"/>
      <c r="Y2" s="80"/>
    </row>
    <row r="3" spans="1:25" ht="44.1" customHeight="1" thickTop="1" thickBot="1" x14ac:dyDescent="0.3">
      <c r="A3" s="80"/>
      <c r="C3" s="229" t="s">
        <v>34</v>
      </c>
      <c r="D3" s="456"/>
      <c r="E3" s="456"/>
      <c r="F3" s="411" t="s">
        <v>269</v>
      </c>
      <c r="G3" s="411"/>
      <c r="H3" s="411"/>
      <c r="I3" s="411"/>
      <c r="J3" s="456"/>
      <c r="K3" s="456"/>
      <c r="L3" s="456"/>
      <c r="M3" s="72"/>
      <c r="N3" s="230" t="s">
        <v>333</v>
      </c>
      <c r="O3" s="395"/>
      <c r="P3" s="395"/>
      <c r="Q3" s="395"/>
      <c r="R3" s="395"/>
      <c r="S3" s="395"/>
      <c r="T3" s="395"/>
      <c r="U3" s="395"/>
      <c r="V3" s="395"/>
      <c r="W3" s="396"/>
      <c r="X3" s="87" t="s">
        <v>371</v>
      </c>
      <c r="Y3" s="80"/>
    </row>
    <row r="4" spans="1:25" ht="44.1" customHeight="1" thickTop="1" thickBot="1" x14ac:dyDescent="0.3">
      <c r="A4" s="80"/>
      <c r="C4" s="411" t="s">
        <v>23</v>
      </c>
      <c r="D4" s="411"/>
      <c r="E4" s="411"/>
      <c r="F4" s="411"/>
      <c r="G4" s="411"/>
      <c r="H4" s="411"/>
      <c r="I4" s="411"/>
      <c r="J4" s="411"/>
      <c r="K4" s="411"/>
      <c r="L4" s="411"/>
      <c r="M4" s="411"/>
      <c r="N4" s="411"/>
      <c r="O4" s="411"/>
      <c r="P4" s="411"/>
      <c r="Q4" s="411"/>
      <c r="R4" s="411"/>
      <c r="S4" s="411"/>
      <c r="T4" s="411"/>
      <c r="U4" s="411"/>
      <c r="V4" s="411"/>
      <c r="W4" s="411"/>
      <c r="X4" s="411"/>
      <c r="Y4" s="80"/>
    </row>
    <row r="5" spans="1:25" ht="44.1" customHeight="1" thickTop="1" thickBot="1" x14ac:dyDescent="0.3">
      <c r="A5" s="80"/>
      <c r="C5" s="229" t="s">
        <v>334</v>
      </c>
      <c r="D5" s="229" t="s">
        <v>179</v>
      </c>
      <c r="E5" s="411" t="s">
        <v>180</v>
      </c>
      <c r="F5" s="411"/>
      <c r="G5" s="411"/>
      <c r="H5" s="411"/>
      <c r="I5" s="411"/>
      <c r="J5" s="411"/>
      <c r="K5" s="411"/>
      <c r="L5" s="411"/>
      <c r="M5" s="72"/>
      <c r="N5" s="229" t="str">
        <f>C5</f>
        <v>Wert</v>
      </c>
      <c r="O5" s="458" t="str">
        <f>D5</f>
        <v>Fähigkeit</v>
      </c>
      <c r="P5" s="476"/>
      <c r="Q5" s="476"/>
      <c r="R5" s="476"/>
      <c r="S5" s="476"/>
      <c r="T5" s="476"/>
      <c r="U5" s="476"/>
      <c r="V5" s="477"/>
      <c r="W5" s="411" t="str">
        <f>E5</f>
        <v>Spezialisierungen</v>
      </c>
      <c r="X5" s="411"/>
      <c r="Y5" s="80"/>
    </row>
    <row r="6" spans="1:25" ht="44.1" customHeight="1" thickTop="1" thickBot="1" x14ac:dyDescent="0.3">
      <c r="A6" s="80"/>
      <c r="B6" s="71">
        <v>1</v>
      </c>
      <c r="C6" s="228"/>
      <c r="D6" s="69" t="s">
        <v>24</v>
      </c>
      <c r="E6" s="413" t="str">
        <f>VLOOKUP(VLOOKUP(B6,'_Tabellen und Listen'!$A$145:$B$163,2,FALSE),'2. Fähigkeiten'!$A$16:$M$121,13,FALSE)</f>
        <v/>
      </c>
      <c r="F6" s="413"/>
      <c r="G6" s="413"/>
      <c r="H6" s="413"/>
      <c r="I6" s="413"/>
      <c r="J6" s="413"/>
      <c r="K6" s="413"/>
      <c r="L6" s="413"/>
      <c r="M6" s="73">
        <f>+B15+1</f>
        <v>11</v>
      </c>
      <c r="N6" s="228"/>
      <c r="O6" s="467" t="s">
        <v>28</v>
      </c>
      <c r="P6" s="468"/>
      <c r="Q6" s="468"/>
      <c r="R6" s="468"/>
      <c r="S6" s="468"/>
      <c r="T6" s="468"/>
      <c r="U6" s="468"/>
      <c r="V6" s="469"/>
      <c r="W6" s="459" t="str">
        <f>VLOOKUP(VLOOKUP(M6,'_Tabellen und Listen'!$A$145:$B$163,2,FALSE),'2. Fähigkeiten'!$A$16:$M$121,13,FALSE)</f>
        <v/>
      </c>
      <c r="X6" s="460"/>
      <c r="Y6" s="80"/>
    </row>
    <row r="7" spans="1:25" ht="44.1" customHeight="1" thickTop="1" thickBot="1" x14ac:dyDescent="0.3">
      <c r="A7" s="80"/>
      <c r="B7" s="71">
        <f>+B6+1</f>
        <v>2</v>
      </c>
      <c r="C7" s="228"/>
      <c r="D7" s="69" t="s">
        <v>25</v>
      </c>
      <c r="E7" s="413" t="str">
        <f>VLOOKUP(VLOOKUP(B7,'_Tabellen und Listen'!$A$145:$B$163,2,FALSE),'2. Fähigkeiten'!$A$16:$M$121,13,FALSE)</f>
        <v/>
      </c>
      <c r="F7" s="413"/>
      <c r="G7" s="413"/>
      <c r="H7" s="413"/>
      <c r="I7" s="413"/>
      <c r="J7" s="413"/>
      <c r="K7" s="413"/>
      <c r="L7" s="413"/>
      <c r="M7" s="73">
        <f>+M6+1</f>
        <v>12</v>
      </c>
      <c r="N7" s="228"/>
      <c r="O7" s="467" t="s">
        <v>173</v>
      </c>
      <c r="P7" s="468"/>
      <c r="Q7" s="468"/>
      <c r="R7" s="468"/>
      <c r="S7" s="468"/>
      <c r="T7" s="468"/>
      <c r="U7" s="468"/>
      <c r="V7" s="469"/>
      <c r="W7" s="459" t="str">
        <f>VLOOKUP(VLOOKUP(M7,'_Tabellen und Listen'!$A$145:$B$163,2,FALSE),'2. Fähigkeiten'!$A$16:$M$121,13,FALSE)</f>
        <v/>
      </c>
      <c r="X7" s="460"/>
      <c r="Y7" s="80"/>
    </row>
    <row r="8" spans="1:25" ht="44.1" customHeight="1" thickTop="1" thickBot="1" x14ac:dyDescent="0.3">
      <c r="A8" s="80"/>
      <c r="B8" s="71">
        <f t="shared" ref="B8:B15" si="0">+B7+1</f>
        <v>3</v>
      </c>
      <c r="C8" s="228"/>
      <c r="D8" s="69" t="s">
        <v>168</v>
      </c>
      <c r="E8" s="413" t="str">
        <f>VLOOKUP(VLOOKUP(B8,'_Tabellen und Listen'!$A$145:$B$163,2,FALSE),'2. Fähigkeiten'!$A$16:$M$121,13,FALSE)</f>
        <v/>
      </c>
      <c r="F8" s="413"/>
      <c r="G8" s="413"/>
      <c r="H8" s="413"/>
      <c r="I8" s="413"/>
      <c r="J8" s="413"/>
      <c r="K8" s="413"/>
      <c r="L8" s="413"/>
      <c r="M8" s="73">
        <f t="shared" ref="M8:M14" si="1">+M7+1</f>
        <v>13</v>
      </c>
      <c r="N8" s="228"/>
      <c r="O8" s="467" t="s">
        <v>174</v>
      </c>
      <c r="P8" s="468"/>
      <c r="Q8" s="468"/>
      <c r="R8" s="468"/>
      <c r="S8" s="468"/>
      <c r="T8" s="468"/>
      <c r="U8" s="468"/>
      <c r="V8" s="469"/>
      <c r="W8" s="459" t="str">
        <f>VLOOKUP(VLOOKUP(M8,'_Tabellen und Listen'!$A$145:$B$163,2,FALSE),'2. Fähigkeiten'!$A$16:$M$121,13,FALSE)</f>
        <v/>
      </c>
      <c r="X8" s="460"/>
      <c r="Y8" s="80"/>
    </row>
    <row r="9" spans="1:25" ht="44.1" customHeight="1" thickTop="1" thickBot="1" x14ac:dyDescent="0.3">
      <c r="A9" s="80"/>
      <c r="B9" s="71">
        <f t="shared" si="0"/>
        <v>4</v>
      </c>
      <c r="C9" s="241"/>
      <c r="D9" s="69" t="s">
        <v>26</v>
      </c>
      <c r="E9" s="413" t="str">
        <f>VLOOKUP(VLOOKUP(B9,'_Tabellen und Listen'!$A$145:$B$163,2,FALSE),'2. Fähigkeiten'!$A$16:$M$121,13,FALSE)&amp;IF(X31&lt;0," [gerüstet "&amp;X31&amp;" Rüstungsabzug]","")</f>
        <v/>
      </c>
      <c r="F9" s="413"/>
      <c r="G9" s="413"/>
      <c r="H9" s="413"/>
      <c r="I9" s="413"/>
      <c r="J9" s="413"/>
      <c r="K9" s="413"/>
      <c r="L9" s="413"/>
      <c r="M9" s="73">
        <f t="shared" si="1"/>
        <v>14</v>
      </c>
      <c r="N9" s="228"/>
      <c r="O9" s="467" t="s">
        <v>175</v>
      </c>
      <c r="P9" s="468"/>
      <c r="Q9" s="468"/>
      <c r="R9" s="468"/>
      <c r="S9" s="468"/>
      <c r="T9" s="468"/>
      <c r="U9" s="468"/>
      <c r="V9" s="469"/>
      <c r="W9" s="459" t="str">
        <f>VLOOKUP(VLOOKUP(M9,'_Tabellen und Listen'!$A$145:$B$163,2,FALSE),'2. Fähigkeiten'!$A$16:$M$121,13,FALSE)</f>
        <v/>
      </c>
      <c r="X9" s="460"/>
      <c r="Y9" s="80"/>
    </row>
    <row r="10" spans="1:25" ht="44.1" customHeight="1" thickTop="1" thickBot="1" x14ac:dyDescent="0.3">
      <c r="A10" s="80"/>
      <c r="B10" s="71">
        <f t="shared" si="0"/>
        <v>5</v>
      </c>
      <c r="C10" s="228"/>
      <c r="D10" s="69" t="s">
        <v>169</v>
      </c>
      <c r="E10" s="413" t="str">
        <f>VLOOKUP(VLOOKUP(B10,'_Tabellen und Listen'!$A$145:$B$163,2,FALSE),'2. Fähigkeiten'!$A$16:$M$121,13,FALSE)</f>
        <v/>
      </c>
      <c r="F10" s="413"/>
      <c r="G10" s="413"/>
      <c r="H10" s="413"/>
      <c r="I10" s="413"/>
      <c r="J10" s="413"/>
      <c r="K10" s="413"/>
      <c r="L10" s="413"/>
      <c r="M10" s="73">
        <f t="shared" si="1"/>
        <v>15</v>
      </c>
      <c r="N10" s="228"/>
      <c r="O10" s="467" t="s">
        <v>176</v>
      </c>
      <c r="P10" s="468"/>
      <c r="Q10" s="468"/>
      <c r="R10" s="468"/>
      <c r="S10" s="468"/>
      <c r="T10" s="468"/>
      <c r="U10" s="468"/>
      <c r="V10" s="469"/>
      <c r="W10" s="459" t="str">
        <f>VLOOKUP(VLOOKUP(M10,'_Tabellen und Listen'!$A$145:$B$163,2,FALSE),'2. Fähigkeiten'!$A$16:$M$121,13,FALSE)</f>
        <v/>
      </c>
      <c r="X10" s="460"/>
      <c r="Y10" s="80"/>
    </row>
    <row r="11" spans="1:25" ht="44.1" customHeight="1" thickTop="1" thickBot="1" x14ac:dyDescent="0.3">
      <c r="A11" s="80"/>
      <c r="B11" s="71">
        <f t="shared" si="0"/>
        <v>6</v>
      </c>
      <c r="C11" s="228"/>
      <c r="D11" s="69" t="s">
        <v>27</v>
      </c>
      <c r="E11" s="413" t="str">
        <f>VLOOKUP(VLOOKUP(B11,'_Tabellen und Listen'!$A$145:$B$163,2,FALSE),'2. Fähigkeiten'!$A$16:$M$121,13,FALSE)</f>
        <v/>
      </c>
      <c r="F11" s="413"/>
      <c r="G11" s="413"/>
      <c r="H11" s="413"/>
      <c r="I11" s="413"/>
      <c r="J11" s="413"/>
      <c r="K11" s="413"/>
      <c r="L11" s="413"/>
      <c r="M11" s="73">
        <f t="shared" si="1"/>
        <v>16</v>
      </c>
      <c r="N11" s="228"/>
      <c r="O11" s="467" t="s">
        <v>337</v>
      </c>
      <c r="P11" s="468"/>
      <c r="Q11" s="468"/>
      <c r="R11" s="468"/>
      <c r="S11" s="468"/>
      <c r="T11" s="468"/>
      <c r="U11" s="468"/>
      <c r="V11" s="469"/>
      <c r="W11" s="459" t="str">
        <f>VLOOKUP(VLOOKUP(M11,'_Tabellen und Listen'!$A$145:$B$163,2,FALSE),'2. Fähigkeiten'!$A$16:$M$121,13,FALSE)</f>
        <v/>
      </c>
      <c r="X11" s="460"/>
      <c r="Y11" s="80"/>
    </row>
    <row r="12" spans="1:25" ht="44.1" customHeight="1" thickTop="1" thickBot="1" x14ac:dyDescent="0.3">
      <c r="A12" s="80"/>
      <c r="B12" s="71">
        <f t="shared" si="0"/>
        <v>7</v>
      </c>
      <c r="C12" s="228"/>
      <c r="D12" s="69" t="s">
        <v>336</v>
      </c>
      <c r="E12" s="413" t="str">
        <f>VLOOKUP(VLOOKUP(B12,'_Tabellen und Listen'!$A$145:$B$163,2,FALSE),'2. Fähigkeiten'!$A$16:$M$121,13,FALSE)</f>
        <v/>
      </c>
      <c r="F12" s="413"/>
      <c r="G12" s="413"/>
      <c r="H12" s="413"/>
      <c r="I12" s="413"/>
      <c r="J12" s="413"/>
      <c r="K12" s="413"/>
      <c r="L12" s="413"/>
      <c r="M12" s="73">
        <f t="shared" si="1"/>
        <v>17</v>
      </c>
      <c r="N12" s="228"/>
      <c r="O12" s="467" t="s">
        <v>338</v>
      </c>
      <c r="P12" s="468"/>
      <c r="Q12" s="468"/>
      <c r="R12" s="468"/>
      <c r="S12" s="468"/>
      <c r="T12" s="468"/>
      <c r="U12" s="468"/>
      <c r="V12" s="469"/>
      <c r="W12" s="459" t="str">
        <f>VLOOKUP(VLOOKUP(M12,'_Tabellen und Listen'!$A$145:$B$163,2,FALSE),'2. Fähigkeiten'!$A$16:$M$121,13,FALSE)</f>
        <v/>
      </c>
      <c r="X12" s="460"/>
      <c r="Y12" s="80"/>
    </row>
    <row r="13" spans="1:25" ht="44.1" customHeight="1" thickTop="1" thickBot="1" x14ac:dyDescent="0.3">
      <c r="A13" s="80"/>
      <c r="B13" s="71">
        <f t="shared" si="0"/>
        <v>8</v>
      </c>
      <c r="C13" s="228"/>
      <c r="D13" s="69" t="s">
        <v>171</v>
      </c>
      <c r="E13" s="413" t="str">
        <f>VLOOKUP(VLOOKUP(B13,'_Tabellen und Listen'!$A$145:$B$163,2,FALSE),'2. Fähigkeiten'!$A$16:$M$121,13,FALSE)</f>
        <v/>
      </c>
      <c r="F13" s="413"/>
      <c r="G13" s="413"/>
      <c r="H13" s="413"/>
      <c r="I13" s="413"/>
      <c r="J13" s="413"/>
      <c r="K13" s="413"/>
      <c r="L13" s="413"/>
      <c r="M13" s="73">
        <f t="shared" si="1"/>
        <v>18</v>
      </c>
      <c r="N13" s="228"/>
      <c r="O13" s="467" t="s">
        <v>178</v>
      </c>
      <c r="P13" s="468"/>
      <c r="Q13" s="468"/>
      <c r="R13" s="468"/>
      <c r="S13" s="468"/>
      <c r="T13" s="468"/>
      <c r="U13" s="468"/>
      <c r="V13" s="469"/>
      <c r="W13" s="459" t="str">
        <f>VLOOKUP(VLOOKUP(M13,'_Tabellen und Listen'!$A$145:$B$163,2,FALSE),'2. Fähigkeiten'!$A$16:$M$121,13,FALSE)</f>
        <v/>
      </c>
      <c r="X13" s="460"/>
      <c r="Y13" s="80"/>
    </row>
    <row r="14" spans="1:25" ht="44.1" customHeight="1" thickTop="1" thickBot="1" x14ac:dyDescent="0.3">
      <c r="A14" s="80"/>
      <c r="B14" s="71">
        <f t="shared" si="0"/>
        <v>9</v>
      </c>
      <c r="C14" s="228"/>
      <c r="D14" s="69" t="s">
        <v>335</v>
      </c>
      <c r="E14" s="413" t="str">
        <f>VLOOKUP(VLOOKUP(B14,'_Tabellen und Listen'!$A$145:$B$163,2,FALSE),'2. Fähigkeiten'!$A$16:$M$121,13,FALSE)</f>
        <v/>
      </c>
      <c r="F14" s="413"/>
      <c r="G14" s="413"/>
      <c r="H14" s="413"/>
      <c r="I14" s="413"/>
      <c r="J14" s="413"/>
      <c r="K14" s="413"/>
      <c r="L14" s="413"/>
      <c r="M14" s="73">
        <f t="shared" si="1"/>
        <v>19</v>
      </c>
      <c r="N14" s="228"/>
      <c r="O14" s="467" t="s">
        <v>95</v>
      </c>
      <c r="P14" s="468"/>
      <c r="Q14" s="468"/>
      <c r="R14" s="468"/>
      <c r="S14" s="468"/>
      <c r="T14" s="468"/>
      <c r="U14" s="468"/>
      <c r="V14" s="469"/>
      <c r="W14" s="459" t="str">
        <f>VLOOKUP(VLOOKUP(M14,'_Tabellen und Listen'!$A$145:$B$163,2,FALSE),'2. Fähigkeiten'!$A$16:$M$121,13,FALSE)</f>
        <v/>
      </c>
      <c r="X14" s="460"/>
      <c r="Y14" s="80"/>
    </row>
    <row r="15" spans="1:25" ht="44.1" customHeight="1" thickTop="1" thickBot="1" x14ac:dyDescent="0.3">
      <c r="A15" s="80"/>
      <c r="B15" s="71">
        <f t="shared" si="0"/>
        <v>10</v>
      </c>
      <c r="C15" s="228"/>
      <c r="D15" s="69" t="s">
        <v>156</v>
      </c>
      <c r="E15" s="413" t="str">
        <f>VLOOKUP(VLOOKUP(B15,'_Tabellen und Listen'!$A$145:$B$163,2,FALSE),'2. Fähigkeiten'!$A$16:$M$121,13,FALSE)</f>
        <v>Gemeine Zunge 2</v>
      </c>
      <c r="F15" s="413"/>
      <c r="G15" s="413"/>
      <c r="H15" s="413"/>
      <c r="I15" s="413"/>
      <c r="J15" s="413"/>
      <c r="K15" s="413"/>
      <c r="L15" s="413"/>
      <c r="M15" s="413"/>
      <c r="N15" s="413"/>
      <c r="O15" s="413"/>
      <c r="P15" s="413"/>
      <c r="Q15" s="413"/>
      <c r="R15" s="413"/>
      <c r="S15" s="413"/>
      <c r="T15" s="413"/>
      <c r="U15" s="413"/>
      <c r="V15" s="413"/>
      <c r="W15" s="413"/>
      <c r="X15" s="413"/>
      <c r="Y15" s="80"/>
    </row>
    <row r="16" spans="1:25" ht="44.1" customHeight="1" thickTop="1" thickBot="1" x14ac:dyDescent="0.3">
      <c r="A16" s="80"/>
      <c r="C16" s="454" t="s">
        <v>340</v>
      </c>
      <c r="D16" s="455"/>
      <c r="E16" s="455"/>
      <c r="F16" s="455"/>
      <c r="G16" s="455"/>
      <c r="H16" s="455"/>
      <c r="I16" s="455"/>
      <c r="J16" s="455"/>
      <c r="K16" s="455"/>
      <c r="L16" s="439"/>
      <c r="M16" s="74"/>
      <c r="N16" s="454" t="s">
        <v>341</v>
      </c>
      <c r="O16" s="455"/>
      <c r="P16" s="455"/>
      <c r="Q16" s="455"/>
      <c r="R16" s="455"/>
      <c r="S16" s="455"/>
      <c r="T16" s="455"/>
      <c r="U16" s="455"/>
      <c r="V16" s="439"/>
      <c r="W16" s="414" t="s">
        <v>27</v>
      </c>
      <c r="X16" s="414"/>
      <c r="Y16" s="80"/>
    </row>
    <row r="17" spans="1:26" ht="24" customHeight="1" thickTop="1" thickBot="1" x14ac:dyDescent="0.3">
      <c r="A17" s="80"/>
      <c r="C17" s="403"/>
      <c r="D17" s="403"/>
      <c r="E17" s="403"/>
      <c r="F17" s="403"/>
      <c r="G17" s="403"/>
      <c r="H17" s="403"/>
      <c r="I17" s="403"/>
      <c r="J17" s="403"/>
      <c r="K17" s="403"/>
      <c r="L17" s="403"/>
      <c r="M17" s="75"/>
      <c r="N17" s="456" t="s">
        <v>342</v>
      </c>
      <c r="O17" s="456"/>
      <c r="P17" s="456"/>
      <c r="Q17" s="456"/>
      <c r="R17" s="456"/>
      <c r="S17" s="456"/>
      <c r="T17" s="456"/>
      <c r="U17" s="456"/>
      <c r="V17" s="456"/>
      <c r="W17" s="456" t="s">
        <v>343</v>
      </c>
      <c r="X17" s="456"/>
      <c r="Y17" s="80"/>
    </row>
    <row r="18" spans="1:26" ht="50.1" customHeight="1" thickTop="1" thickBot="1" x14ac:dyDescent="0.3">
      <c r="A18" s="80"/>
      <c r="C18" s="403"/>
      <c r="D18" s="403"/>
      <c r="E18" s="403"/>
      <c r="F18" s="403"/>
      <c r="G18" s="403"/>
      <c r="H18" s="403"/>
      <c r="I18" s="403"/>
      <c r="J18" s="403"/>
      <c r="K18" s="403"/>
      <c r="L18" s="403"/>
      <c r="M18" s="75"/>
      <c r="N18" s="456">
        <f>C13+N6+N12</f>
        <v>0</v>
      </c>
      <c r="O18" s="456"/>
      <c r="P18" s="456"/>
      <c r="Q18" s="456"/>
      <c r="R18" s="456"/>
      <c r="S18" s="456"/>
      <c r="T18" s="456"/>
      <c r="U18" s="456"/>
      <c r="V18" s="456"/>
      <c r="W18" s="480"/>
      <c r="X18" s="480"/>
      <c r="Y18" s="80"/>
      <c r="Z18" s="212"/>
    </row>
    <row r="19" spans="1:26" ht="49.5" customHeight="1" thickTop="1" thickBot="1" x14ac:dyDescent="0.3">
      <c r="A19" s="80"/>
      <c r="C19" s="403"/>
      <c r="D19" s="403"/>
      <c r="E19" s="403"/>
      <c r="F19" s="403"/>
      <c r="G19" s="403"/>
      <c r="H19" s="403"/>
      <c r="I19" s="403"/>
      <c r="J19" s="403"/>
      <c r="K19" s="403"/>
      <c r="L19" s="403"/>
      <c r="M19" s="75"/>
      <c r="N19" s="481" t="s">
        <v>879</v>
      </c>
      <c r="O19" s="481"/>
      <c r="P19" s="481"/>
      <c r="Q19" s="481"/>
      <c r="R19" s="481"/>
      <c r="S19" s="481"/>
      <c r="T19" s="481"/>
      <c r="U19" s="481"/>
      <c r="V19" s="481"/>
      <c r="W19" s="481" t="s">
        <v>878</v>
      </c>
      <c r="X19" s="481"/>
      <c r="Y19" s="80"/>
    </row>
    <row r="20" spans="1:26" ht="24" customHeight="1" thickTop="1" thickBot="1" x14ac:dyDescent="0.3">
      <c r="A20" s="80"/>
      <c r="C20" s="403"/>
      <c r="D20" s="403"/>
      <c r="E20" s="403"/>
      <c r="F20" s="403"/>
      <c r="G20" s="403"/>
      <c r="H20" s="403"/>
      <c r="I20" s="403"/>
      <c r="J20" s="403"/>
      <c r="K20" s="403"/>
      <c r="L20" s="403"/>
      <c r="M20" s="75"/>
      <c r="N20" s="456" t="s">
        <v>344</v>
      </c>
      <c r="O20" s="456"/>
      <c r="P20" s="456"/>
      <c r="Q20" s="456"/>
      <c r="R20" s="456"/>
      <c r="S20" s="456"/>
      <c r="T20" s="456"/>
      <c r="U20" s="456"/>
      <c r="V20" s="456"/>
      <c r="W20" s="456" t="s">
        <v>345</v>
      </c>
      <c r="X20" s="456"/>
      <c r="Y20" s="80"/>
    </row>
    <row r="21" spans="1:26" ht="11.25" customHeight="1" thickTop="1" thickBot="1" x14ac:dyDescent="0.3">
      <c r="A21" s="80"/>
      <c r="C21" s="403"/>
      <c r="D21" s="403"/>
      <c r="E21" s="457"/>
      <c r="F21" s="457"/>
      <c r="G21" s="457"/>
      <c r="H21" s="457"/>
      <c r="I21" s="457"/>
      <c r="J21" s="457"/>
      <c r="K21" s="457"/>
      <c r="L21" s="457"/>
      <c r="M21" s="76"/>
      <c r="N21" s="461">
        <f>N13*3</f>
        <v>0</v>
      </c>
      <c r="O21" s="473"/>
      <c r="P21" s="473"/>
      <c r="Q21" s="473"/>
      <c r="R21" s="473"/>
      <c r="S21" s="473"/>
      <c r="T21" s="473"/>
      <c r="U21" s="473"/>
      <c r="V21" s="462"/>
      <c r="W21" s="461">
        <f>C7*3-IF('4. Nachteile'!B33="ja",2,0)</f>
        <v>0</v>
      </c>
      <c r="X21" s="462"/>
      <c r="Y21" s="80"/>
    </row>
    <row r="22" spans="1:26" ht="18" customHeight="1" thickTop="1" thickBot="1" x14ac:dyDescent="0.3">
      <c r="A22" s="80"/>
      <c r="C22" s="411" t="s">
        <v>261</v>
      </c>
      <c r="D22" s="458"/>
      <c r="E22" s="103">
        <v>1</v>
      </c>
      <c r="F22" s="104">
        <v>2</v>
      </c>
      <c r="G22" s="104">
        <v>3</v>
      </c>
      <c r="H22" s="104">
        <v>4</v>
      </c>
      <c r="I22" s="104">
        <v>5</v>
      </c>
      <c r="J22" s="104">
        <v>6</v>
      </c>
      <c r="K22" s="104">
        <v>7</v>
      </c>
      <c r="L22" s="105">
        <v>8</v>
      </c>
      <c r="M22" s="77"/>
      <c r="N22" s="463"/>
      <c r="O22" s="474"/>
      <c r="P22" s="474"/>
      <c r="Q22" s="474"/>
      <c r="R22" s="474"/>
      <c r="S22" s="474"/>
      <c r="T22" s="474"/>
      <c r="U22" s="474"/>
      <c r="V22" s="464"/>
      <c r="W22" s="463"/>
      <c r="X22" s="464"/>
      <c r="Y22" s="80"/>
    </row>
    <row r="23" spans="1:26" ht="23.1" customHeight="1" thickTop="1" thickBot="1" x14ac:dyDescent="0.3">
      <c r="A23" s="80"/>
      <c r="C23" s="411"/>
      <c r="D23" s="458"/>
      <c r="E23" s="102"/>
      <c r="F23" s="106"/>
      <c r="G23" s="106"/>
      <c r="H23" s="106"/>
      <c r="I23" s="106" t="str">
        <f>IF('3. Vorteile'!$B9&gt;=I22,"X","")</f>
        <v/>
      </c>
      <c r="J23" s="106" t="str">
        <f>IF('3. Vorteile'!$B9&gt;=J22,"X","")</f>
        <v/>
      </c>
      <c r="K23" s="106" t="str">
        <f>IF('3. Vorteile'!$B9&gt;=K22,"X","")</f>
        <v/>
      </c>
      <c r="L23" s="107" t="str">
        <f>IF('3. Vorteile'!$B9&gt;=L22,"X","")</f>
        <v/>
      </c>
      <c r="M23" s="79"/>
      <c r="N23" s="465"/>
      <c r="O23" s="475"/>
      <c r="P23" s="475"/>
      <c r="Q23" s="475"/>
      <c r="R23" s="475"/>
      <c r="S23" s="475"/>
      <c r="T23" s="475"/>
      <c r="U23" s="475"/>
      <c r="V23" s="466"/>
      <c r="W23" s="465"/>
      <c r="X23" s="466"/>
      <c r="Y23" s="80"/>
    </row>
    <row r="24" spans="1:26" ht="18" customHeight="1" thickTop="1" thickBot="1" x14ac:dyDescent="0.3">
      <c r="A24" s="80"/>
      <c r="C24" s="411"/>
      <c r="D24" s="458"/>
      <c r="E24" s="470"/>
      <c r="F24" s="471"/>
      <c r="G24" s="471"/>
      <c r="H24" s="471"/>
      <c r="I24" s="471"/>
      <c r="J24" s="471"/>
      <c r="K24" s="471"/>
      <c r="L24" s="472"/>
      <c r="M24" s="78"/>
      <c r="N24" s="478" t="s">
        <v>880</v>
      </c>
      <c r="O24" s="478"/>
      <c r="P24" s="478"/>
      <c r="Q24" s="478"/>
      <c r="R24" s="478"/>
      <c r="S24" s="478"/>
      <c r="T24" s="478"/>
      <c r="U24" s="478"/>
      <c r="V24" s="479"/>
      <c r="W24" s="479" t="s">
        <v>881</v>
      </c>
      <c r="X24" s="479"/>
      <c r="Y24" s="80"/>
    </row>
    <row r="25" spans="1:26" ht="44.1" customHeight="1" thickTop="1" thickBot="1" x14ac:dyDescent="0.3">
      <c r="A25" s="80"/>
      <c r="C25" s="411" t="s">
        <v>346</v>
      </c>
      <c r="D25" s="411"/>
      <c r="E25" s="412"/>
      <c r="F25" s="412"/>
      <c r="G25" s="412"/>
      <c r="H25" s="412"/>
      <c r="I25" s="412"/>
      <c r="J25" s="412"/>
      <c r="K25" s="412"/>
      <c r="L25" s="412"/>
      <c r="M25" s="411"/>
      <c r="N25" s="411"/>
      <c r="O25" s="411"/>
      <c r="P25" s="411"/>
      <c r="Q25" s="411"/>
      <c r="R25" s="411"/>
      <c r="S25" s="411"/>
      <c r="T25" s="411"/>
      <c r="U25" s="411"/>
      <c r="V25" s="411"/>
      <c r="W25" s="414" t="s">
        <v>347</v>
      </c>
      <c r="X25" s="414"/>
      <c r="Y25" s="80"/>
    </row>
    <row r="26" spans="1:26" ht="44.1" customHeight="1" thickTop="1" thickBot="1" x14ac:dyDescent="0.3">
      <c r="A26" s="80"/>
      <c r="C26" s="256" t="s">
        <v>889</v>
      </c>
      <c r="D26" s="452" t="s">
        <v>890</v>
      </c>
      <c r="E26" s="453"/>
      <c r="F26" s="436" t="s">
        <v>348</v>
      </c>
      <c r="G26" s="436"/>
      <c r="H26" s="436"/>
      <c r="I26" s="436"/>
      <c r="J26" s="437" t="s">
        <v>888</v>
      </c>
      <c r="K26" s="436"/>
      <c r="L26" s="436"/>
      <c r="M26" s="436"/>
      <c r="N26" s="436"/>
      <c r="O26" s="436"/>
      <c r="P26" s="436"/>
      <c r="Q26" s="436"/>
      <c r="R26" s="436"/>
      <c r="S26" s="436"/>
      <c r="T26" s="436"/>
      <c r="U26" s="436"/>
      <c r="V26" s="438"/>
      <c r="W26" s="244"/>
      <c r="X26" s="232" t="str">
        <f>IFERROR("Rüstungswert "&amp;VLOOKUP(W26,'_Tabellen und Listen'!A315:B329,2,FALSE)&amp;", Rüstungsabzug "&amp;VLOOKUP(W26,'_Tabellen und Listen'!A315:C329,3,FALSE)&amp;", Last "&amp;VLOOKUP(W26,'_Tabellen und Listen'!A315:D329,4,FALSE),"")</f>
        <v/>
      </c>
      <c r="Y26" s="80"/>
    </row>
    <row r="27" spans="1:26" ht="43.9" customHeight="1" thickTop="1" thickBot="1" x14ac:dyDescent="0.3">
      <c r="A27" s="80"/>
      <c r="C27" s="255"/>
      <c r="D27" s="387"/>
      <c r="E27" s="388"/>
      <c r="F27" s="425" t="str">
        <f>IF(D27&lt;&gt;"",VLOOKUP(D27,'_Tabellen und Listen'!$A$342:$I$400,9,FALSE)&amp;", "&amp;VLOOKUP(D27,'_Tabellen und Listen'!$A$342:$B$400,2,FALSE)&amp;IF(VLOOKUP(D27,'_Tabellen und Listen'!$A$342:$C$400,3,FALSE)&gt;0," "&amp;VLOOKUP(D27,'_Tabellen und Listen'!$A$342:$C$400,3,FALSE)&amp;"B","")&amp;", daraus resultierend "&amp;VLOOKUP(VLOOKUP(D27,'_Tabellen und Listen'!$A$342:$B$400,2,FALSE),'2. Fähigkeiten'!$B$15:$F$121,5,FALSE)-VLOOKUP(D27,'_Tabellen und Listen'!$A$342:$C$400,3,FALSE)+IF(VLOOKUP(D27,'_Tabellen und Listen'!$A$342:$I$400,9,FALSE)="Schiesskunst",'Charakterbogen neu (blanko)'!C14,'Charakterbogen neu (blanko)'!C11)+IF(C27="schlecht",-1,0)&amp;"W"&amp;IF(OR(C27="überlegen",C27="außergewöhnlich"),"+1",""),"")</f>
        <v/>
      </c>
      <c r="G27" s="426"/>
      <c r="H27" s="426"/>
      <c r="I27" s="426"/>
      <c r="J27" s="426" t="str">
        <f>IF(D27&lt;&gt;"","Grundschaden: "&amp;VLOOKUP(D27,'_Tabellen und Listen'!$A$342:$D$400,4,FALSE)&amp;IF(C27="außergewöhnlich","+1","")&amp;" = "&amp;VLOOKUP(D27,'_Tabellen und Listen'!$A$342:$F$400,6,FALSE)+IF(C27="außergewöhnlich",1,0)&amp;" / Eigenschaften: "&amp;VLOOKUP(D27,'_Tabellen und Listen'!$A$342:$G$400,5,FALSE),"")</f>
        <v/>
      </c>
      <c r="K27" s="426"/>
      <c r="L27" s="426"/>
      <c r="M27" s="426"/>
      <c r="N27" s="426"/>
      <c r="O27" s="426"/>
      <c r="P27" s="426"/>
      <c r="Q27" s="426"/>
      <c r="R27" s="426"/>
      <c r="S27" s="426"/>
      <c r="T27" s="426"/>
      <c r="U27" s="426"/>
      <c r="V27" s="426"/>
      <c r="W27" s="439" t="s">
        <v>766</v>
      </c>
      <c r="X27" s="414"/>
      <c r="Y27" s="80"/>
    </row>
    <row r="28" spans="1:26" ht="43.9" customHeight="1" thickTop="1" thickBot="1" x14ac:dyDescent="0.3">
      <c r="A28" s="80"/>
      <c r="C28" s="253"/>
      <c r="D28" s="390"/>
      <c r="E28" s="391"/>
      <c r="F28" s="425" t="str">
        <f>IF(D28&lt;&gt;"",VLOOKUP(D28,'_Tabellen und Listen'!$A$342:$I$400,9,FALSE)&amp;", "&amp;VLOOKUP(D28,'_Tabellen und Listen'!$A$342:$B$400,2,FALSE)&amp;IF(VLOOKUP(D28,'_Tabellen und Listen'!$A$342:$C$400,3,FALSE)&gt;0," "&amp;VLOOKUP(D28,'_Tabellen und Listen'!$A$342:$C$400,3,FALSE)&amp;"B","")&amp;", daraus resultierend "&amp;VLOOKUP(VLOOKUP(D28,'_Tabellen und Listen'!$A$342:$B$400,2,FALSE),'2. Fähigkeiten'!$B$15:$F$121,5,FALSE)-VLOOKUP(D28,'_Tabellen und Listen'!$A$342:$C$400,3,FALSE)+IF(VLOOKUP(D28,'_Tabellen und Listen'!$A$342:$I$400,9,FALSE)="Schiesskunst",'Charakterbogen neu (blanko)'!C15,'Charakterbogen neu (blanko)'!C12)+IF(C28="schlecht",-1,0)&amp;"W"&amp;IF(OR(C28="überlegen",C28="außergewöhnlich"),"+1",""),"")</f>
        <v/>
      </c>
      <c r="G28" s="426"/>
      <c r="H28" s="426"/>
      <c r="I28" s="426"/>
      <c r="J28" s="426" t="str">
        <f>IF(D28&lt;&gt;"","Grundschaden: "&amp;VLOOKUP(D28,'_Tabellen und Listen'!$A$342:$D$400,4,FALSE)&amp;IF(C28="außergewöhnlich","+1","")&amp;" = "&amp;VLOOKUP(D28,'_Tabellen und Listen'!$A$342:$F$400,6,FALSE)+IF(C28="außergewöhnlich",1,0)&amp;" / Eigenschaften: "&amp;VLOOKUP(D28,'_Tabellen und Listen'!$A$342:$G$400,5,FALSE),"")</f>
        <v/>
      </c>
      <c r="K28" s="426"/>
      <c r="L28" s="426"/>
      <c r="M28" s="426"/>
      <c r="N28" s="426"/>
      <c r="O28" s="426"/>
      <c r="P28" s="426"/>
      <c r="Q28" s="426"/>
      <c r="R28" s="426"/>
      <c r="S28" s="426"/>
      <c r="T28" s="426"/>
      <c r="U28" s="426"/>
      <c r="V28" s="426"/>
      <c r="W28" s="251"/>
      <c r="X28" s="243" t="str">
        <f>IFERROR("Abwehr "&amp;VLOOKUP(W28,'_Tabellen und Listen'!$A$332:$B$340,2,FALSE)&amp;", Last "&amp;VLOOKUP(W28,'_Tabellen und Listen'!$A$332:$C$340,3,FALSE),"")</f>
        <v/>
      </c>
      <c r="Y28" s="80"/>
    </row>
    <row r="29" spans="1:26" ht="43.9" customHeight="1" thickTop="1" thickBot="1" x14ac:dyDescent="0.3">
      <c r="A29" s="80"/>
      <c r="C29" s="253"/>
      <c r="D29" s="390"/>
      <c r="E29" s="391"/>
      <c r="F29" s="425" t="str">
        <f>IF(D29&lt;&gt;"",VLOOKUP(D29,'_Tabellen und Listen'!$A$342:$I$400,9,FALSE)&amp;", "&amp;VLOOKUP(D29,'_Tabellen und Listen'!$A$342:$B$400,2,FALSE)&amp;IF(VLOOKUP(D29,'_Tabellen und Listen'!$A$342:$C$400,3,FALSE)&gt;0," "&amp;VLOOKUP(D29,'_Tabellen und Listen'!$A$342:$C$400,3,FALSE)&amp;"B","")&amp;", daraus resultierend "&amp;VLOOKUP(VLOOKUP(D29,'_Tabellen und Listen'!$A$342:$B$400,2,FALSE),'2. Fähigkeiten'!$B$15:$F$121,5,FALSE)-VLOOKUP(D29,'_Tabellen und Listen'!$A$342:$C$400,3,FALSE)+IF(VLOOKUP(D29,'_Tabellen und Listen'!$A$342:$I$400,9,FALSE)="Schiesskunst",'Charakterbogen neu (blanko)'!C16,'Charakterbogen neu (blanko)'!C13)+IF(C29="schlecht",-1,0)&amp;"W"&amp;IF(OR(C29="überlegen",C29="außergewöhnlich"),"+1",""),"")</f>
        <v/>
      </c>
      <c r="G29" s="426"/>
      <c r="H29" s="426"/>
      <c r="I29" s="426"/>
      <c r="J29" s="426" t="str">
        <f>IF(D29&lt;&gt;"","Grundschaden: "&amp;VLOOKUP(D29,'_Tabellen und Listen'!$A$342:$D$400,4,FALSE)&amp;IF(C29="außergewöhnlich","+1","")&amp;" = "&amp;VLOOKUP(D29,'_Tabellen und Listen'!$A$342:$F$400,6,FALSE)+IF(C29="außergewöhnlich",1,0)&amp;" / Eigenschaften: "&amp;VLOOKUP(D29,'_Tabellen und Listen'!$A$342:$G$400,5,FALSE),"")</f>
        <v/>
      </c>
      <c r="K29" s="426"/>
      <c r="L29" s="426"/>
      <c r="M29" s="426"/>
      <c r="N29" s="426"/>
      <c r="O29" s="426"/>
      <c r="P29" s="426"/>
      <c r="Q29" s="426"/>
      <c r="R29" s="426"/>
      <c r="S29" s="426"/>
      <c r="T29" s="426"/>
      <c r="U29" s="426"/>
      <c r="V29" s="426"/>
      <c r="W29" s="251"/>
      <c r="X29" s="243" t="str">
        <f>IFERROR("Abwehr "&amp;VLOOKUP(W29,'_Tabellen und Listen'!$A$332:$B$340,2,FALSE)&amp;", Last "&amp;VLOOKUP(W29,'_Tabellen und Listen'!$A$332:$C$340,3,FALSE),"")</f>
        <v/>
      </c>
      <c r="Y29" s="80"/>
    </row>
    <row r="30" spans="1:26" ht="43.9" customHeight="1" thickTop="1" thickBot="1" x14ac:dyDescent="0.3">
      <c r="A30" s="80"/>
      <c r="C30" s="253"/>
      <c r="D30" s="390"/>
      <c r="E30" s="391"/>
      <c r="F30" s="425" t="str">
        <f>IF(D30&lt;&gt;"",VLOOKUP(D30,'_Tabellen und Listen'!$A$342:$I$400,9,FALSE)&amp;", "&amp;VLOOKUP(D30,'_Tabellen und Listen'!$A$342:$B$400,2,FALSE)&amp;IF(VLOOKUP(D30,'_Tabellen und Listen'!$A$342:$C$400,3,FALSE)&gt;0," "&amp;VLOOKUP(D30,'_Tabellen und Listen'!$A$342:$C$400,3,FALSE)&amp;"B","")&amp;", daraus resultierend "&amp;VLOOKUP(VLOOKUP(D30,'_Tabellen und Listen'!$A$342:$B$400,2,FALSE),'2. Fähigkeiten'!$B$15:$F$121,5,FALSE)-VLOOKUP(D30,'_Tabellen und Listen'!$A$342:$C$400,3,FALSE)+IF(VLOOKUP(D30,'_Tabellen und Listen'!$A$342:$I$400,9,FALSE)="Schiesskunst",'Charakterbogen neu (blanko)'!C17,'Charakterbogen neu (blanko)'!C14)+IF(C30="schlecht",-1,0)&amp;"W"&amp;IF(OR(C30="überlegen",C30="außergewöhnlich"),"+1",""),"")</f>
        <v/>
      </c>
      <c r="G30" s="426"/>
      <c r="H30" s="426"/>
      <c r="I30" s="426"/>
      <c r="J30" s="426" t="str">
        <f>IF(D30&lt;&gt;"","Grundschaden: "&amp;VLOOKUP(D30,'_Tabellen und Listen'!$A$342:$D$400,4,FALSE)&amp;IF(C30="außergewöhnlich","+1","")&amp;" = "&amp;VLOOKUP(D30,'_Tabellen und Listen'!$A$342:$F$400,6,FALSE)+IF(C30="außergewöhnlich",1,0)&amp;" / Eigenschaften: "&amp;VLOOKUP(D30,'_Tabellen und Listen'!$A$342:$G$400,5,FALSE),"")</f>
        <v/>
      </c>
      <c r="K30" s="426"/>
      <c r="L30" s="426"/>
      <c r="M30" s="426"/>
      <c r="N30" s="426"/>
      <c r="O30" s="426"/>
      <c r="P30" s="426"/>
      <c r="Q30" s="426"/>
      <c r="R30" s="426"/>
      <c r="S30" s="426"/>
      <c r="T30" s="426"/>
      <c r="U30" s="426"/>
      <c r="V30" s="426"/>
      <c r="W30" s="233" t="s">
        <v>349</v>
      </c>
      <c r="X30" s="231" t="s">
        <v>350</v>
      </c>
      <c r="Y30" s="80"/>
    </row>
    <row r="31" spans="1:26" ht="43.9" customHeight="1" thickTop="1" thickBot="1" x14ac:dyDescent="0.3">
      <c r="A31" s="80"/>
      <c r="C31" s="254"/>
      <c r="D31" s="393"/>
      <c r="E31" s="394"/>
      <c r="F31" s="425" t="str">
        <f>IF(D31&lt;&gt;"",VLOOKUP(D31,'_Tabellen und Listen'!$A$342:$I$400,9,FALSE)&amp;", "&amp;VLOOKUP(D31,'_Tabellen und Listen'!$A$342:$B$400,2,FALSE)&amp;IF(VLOOKUP(D31,'_Tabellen und Listen'!$A$342:$C$400,3,FALSE)&gt;0," "&amp;VLOOKUP(D31,'_Tabellen und Listen'!$A$342:$C$400,3,FALSE)&amp;"B","")&amp;", daraus resultierend "&amp;VLOOKUP(VLOOKUP(D31,'_Tabellen und Listen'!$A$342:$B$400,2,FALSE),'2. Fähigkeiten'!$B$15:$F$121,5,FALSE)-VLOOKUP(D31,'_Tabellen und Listen'!$A$342:$C$400,3,FALSE)+IF(VLOOKUP(D31,'_Tabellen und Listen'!$A$342:$I$400,9,FALSE)="Schiesskunst",'Charakterbogen neu (blanko)'!C18,'Charakterbogen neu (blanko)'!C15)+IF(C31="schlecht",-1,0)&amp;"W"&amp;IF(OR(C31="überlegen",C31="außergewöhnlich"),"+1",""),"")</f>
        <v/>
      </c>
      <c r="G31" s="426"/>
      <c r="H31" s="426"/>
      <c r="I31" s="426"/>
      <c r="J31" s="426" t="str">
        <f>IF(D31&lt;&gt;"","Grundschaden: "&amp;VLOOKUP(D31,'_Tabellen und Listen'!$A$342:$D$400,4,FALSE)&amp;IF(C31="außergewöhnlich","+1","")&amp;" = "&amp;VLOOKUP(D31,'_Tabellen und Listen'!$A$342:$F$400,6,FALSE)+IF(C31="außergewöhnlich",1,0)&amp;" / Eigenschaften: "&amp;VLOOKUP(D31,'_Tabellen und Listen'!$A$342:$G$400,5,FALSE),"")</f>
        <v/>
      </c>
      <c r="K31" s="426"/>
      <c r="L31" s="426"/>
      <c r="M31" s="426"/>
      <c r="N31" s="426"/>
      <c r="O31" s="426"/>
      <c r="P31" s="426"/>
      <c r="Q31" s="426"/>
      <c r="R31" s="426"/>
      <c r="S31" s="426"/>
      <c r="T31" s="426"/>
      <c r="U31" s="426"/>
      <c r="V31" s="426"/>
      <c r="W31" s="243">
        <f>IF(W26&lt;&gt;"",VLOOKUP(W26,'_Tabellen und Listen'!A315:B329,2,FALSE),0)</f>
        <v>0</v>
      </c>
      <c r="X31" s="228">
        <f>IF(W26&lt;&gt;"",VLOOKUP(W26,'_Tabellen und Listen'!A315:C329,3,FALSE),0)</f>
        <v>0</v>
      </c>
      <c r="Y31" s="80"/>
    </row>
    <row r="32" spans="1:26" ht="26.25" customHeight="1" thickTop="1" x14ac:dyDescent="0.25">
      <c r="A32" s="80"/>
      <c r="C32" s="421" t="s">
        <v>351</v>
      </c>
      <c r="D32" s="421"/>
      <c r="E32" s="421"/>
      <c r="F32" s="428"/>
      <c r="G32" s="429"/>
      <c r="H32" s="429"/>
      <c r="I32" s="429"/>
      <c r="J32" s="429"/>
      <c r="K32" s="429"/>
      <c r="L32" s="430"/>
      <c r="M32" s="79"/>
      <c r="N32" s="423" t="s">
        <v>352</v>
      </c>
      <c r="O32" s="428"/>
      <c r="P32" s="429"/>
      <c r="Q32" s="429"/>
      <c r="R32" s="429"/>
      <c r="S32" s="429"/>
      <c r="T32" s="429"/>
      <c r="U32" s="429"/>
      <c r="V32" s="430"/>
      <c r="W32" s="440" t="s">
        <v>776</v>
      </c>
      <c r="X32" s="442" t="s">
        <v>777</v>
      </c>
      <c r="Y32" s="80"/>
    </row>
    <row r="33" spans="1:25" ht="21.95" customHeight="1" thickBot="1" x14ac:dyDescent="0.3">
      <c r="A33" s="80"/>
      <c r="C33" s="422"/>
      <c r="D33" s="422"/>
      <c r="E33" s="422"/>
      <c r="F33" s="93"/>
      <c r="G33" s="94"/>
      <c r="H33" s="94"/>
      <c r="I33" s="94"/>
      <c r="J33" s="94"/>
      <c r="K33" s="94"/>
      <c r="L33" s="95"/>
      <c r="M33" s="79"/>
      <c r="N33" s="423"/>
      <c r="O33" s="434"/>
      <c r="P33" s="427"/>
      <c r="Q33" s="427"/>
      <c r="R33" s="427"/>
      <c r="S33" s="427"/>
      <c r="T33" s="427"/>
      <c r="U33" s="427"/>
      <c r="V33" s="435"/>
      <c r="W33" s="441"/>
      <c r="X33" s="443"/>
      <c r="Y33" s="80"/>
    </row>
    <row r="34" spans="1:25" ht="21.95" customHeight="1" thickTop="1" x14ac:dyDescent="0.25">
      <c r="A34" s="80"/>
      <c r="C34" s="422"/>
      <c r="D34" s="422"/>
      <c r="E34" s="422"/>
      <c r="F34" s="93"/>
      <c r="G34" s="94"/>
      <c r="H34" s="94"/>
      <c r="I34" s="94"/>
      <c r="J34" s="94"/>
      <c r="K34" s="94"/>
      <c r="L34" s="95"/>
      <c r="M34" s="79"/>
      <c r="N34" s="423"/>
      <c r="O34" s="448"/>
      <c r="P34" s="427"/>
      <c r="Q34" s="427"/>
      <c r="R34" s="427"/>
      <c r="S34" s="427"/>
      <c r="T34" s="427"/>
      <c r="U34" s="427"/>
      <c r="V34" s="450"/>
      <c r="W34" s="444">
        <f>IFERROR(VLOOKUP(W26,'_Tabellen und Listen'!A315:D330,4,FALSE)+VLOOKUP(W28,'_Tabellen und Listen'!A332:C340,3,FALSE)+VLOOKUP(W29,'_Tabellen und Listen'!A332:C340,3,FALSE),0)</f>
        <v>0</v>
      </c>
      <c r="X34" s="446"/>
      <c r="Y34" s="80"/>
    </row>
    <row r="35" spans="1:25" ht="26.25" customHeight="1" thickBot="1" x14ac:dyDescent="0.3">
      <c r="A35" s="80"/>
      <c r="C35" s="422"/>
      <c r="D35" s="422"/>
      <c r="E35" s="422"/>
      <c r="F35" s="431"/>
      <c r="G35" s="432"/>
      <c r="H35" s="432"/>
      <c r="I35" s="432"/>
      <c r="J35" s="432"/>
      <c r="K35" s="432"/>
      <c r="L35" s="433"/>
      <c r="M35" s="78"/>
      <c r="N35" s="424"/>
      <c r="O35" s="449"/>
      <c r="P35" s="432"/>
      <c r="Q35" s="432"/>
      <c r="R35" s="432"/>
      <c r="S35" s="432"/>
      <c r="T35" s="432"/>
      <c r="U35" s="432"/>
      <c r="V35" s="451"/>
      <c r="W35" s="445"/>
      <c r="X35" s="447"/>
      <c r="Y35" s="80"/>
    </row>
    <row r="36" spans="1:25" ht="16.5" thickTop="1" x14ac:dyDescent="0.25">
      <c r="A36" s="80"/>
      <c r="C36" s="80" t="str">
        <f>"Das Lied von Eis und Feuer Charakterbogen"&amp;IF(Spielername&gt;0," für "&amp;Spielername,"")</f>
        <v>Das Lied von Eis und Feuer Charakterbogen</v>
      </c>
      <c r="D36" s="81"/>
      <c r="E36" s="81"/>
      <c r="F36" s="81"/>
      <c r="G36" s="81"/>
      <c r="H36" s="80"/>
      <c r="I36" s="80"/>
      <c r="J36" s="80"/>
      <c r="K36" s="80"/>
      <c r="L36" s="80"/>
      <c r="M36" s="82"/>
      <c r="N36" s="80"/>
      <c r="O36" s="80"/>
      <c r="P36" s="80"/>
      <c r="Q36" s="80"/>
      <c r="R36" s="80"/>
      <c r="S36" s="80"/>
      <c r="T36" s="80"/>
      <c r="U36" s="80"/>
      <c r="V36" s="81"/>
      <c r="W36" s="397" t="str">
        <f>'1. Allgemeines'!H3</f>
        <v>Version 24.8.17 © Jaegers.Net</v>
      </c>
      <c r="X36" s="397"/>
      <c r="Y36" s="80"/>
    </row>
    <row r="37" spans="1:25" ht="16.5" thickBot="1" x14ac:dyDescent="0.3">
      <c r="A37" s="80"/>
      <c r="C37" s="80"/>
      <c r="D37" s="81"/>
      <c r="E37" s="81"/>
      <c r="F37" s="81"/>
      <c r="G37" s="81"/>
      <c r="H37" s="80"/>
      <c r="I37" s="80"/>
      <c r="J37" s="80"/>
      <c r="K37" s="80"/>
      <c r="L37" s="80"/>
      <c r="M37" s="82"/>
      <c r="N37" s="80"/>
      <c r="O37" s="80"/>
      <c r="P37" s="80"/>
      <c r="Q37" s="80"/>
      <c r="R37" s="80"/>
      <c r="S37" s="80"/>
      <c r="T37" s="80"/>
      <c r="U37" s="80"/>
      <c r="V37" s="81"/>
      <c r="W37" s="80"/>
      <c r="X37" s="80"/>
      <c r="Y37" s="80"/>
    </row>
    <row r="38" spans="1:25" ht="39.75" customHeight="1" thickTop="1" thickBot="1" x14ac:dyDescent="0.3">
      <c r="A38" s="80"/>
      <c r="C38" s="410" t="s">
        <v>353</v>
      </c>
      <c r="D38" s="410"/>
      <c r="E38" s="410"/>
      <c r="F38" s="410"/>
      <c r="G38" s="410"/>
      <c r="H38" s="410"/>
      <c r="I38" s="410"/>
      <c r="J38" s="410"/>
      <c r="K38" s="410"/>
      <c r="L38" s="410"/>
      <c r="M38" s="83"/>
      <c r="N38" s="411" t="s">
        <v>354</v>
      </c>
      <c r="O38" s="410"/>
      <c r="P38" s="410"/>
      <c r="Q38" s="410"/>
      <c r="R38" s="410"/>
      <c r="S38" s="410"/>
      <c r="T38" s="410"/>
      <c r="U38" s="410"/>
      <c r="V38" s="410"/>
      <c r="W38" s="411"/>
      <c r="X38" s="410"/>
      <c r="Y38" s="80"/>
    </row>
    <row r="39" spans="1:25" ht="39.75" customHeight="1" thickTop="1" thickBot="1" x14ac:dyDescent="0.3">
      <c r="A39" s="80"/>
      <c r="C39" s="415"/>
      <c r="D39" s="416"/>
      <c r="E39" s="416"/>
      <c r="F39" s="416"/>
      <c r="G39" s="416"/>
      <c r="H39" s="416"/>
      <c r="I39" s="416"/>
      <c r="J39" s="416"/>
      <c r="K39" s="416"/>
      <c r="L39" s="417"/>
      <c r="M39" s="247"/>
      <c r="N39" s="245" t="s">
        <v>355</v>
      </c>
      <c r="O39" s="418"/>
      <c r="P39" s="419"/>
      <c r="Q39" s="419"/>
      <c r="R39" s="419"/>
      <c r="S39" s="419"/>
      <c r="T39" s="419"/>
      <c r="U39" s="419"/>
      <c r="V39" s="420"/>
      <c r="W39" s="249" t="s">
        <v>357</v>
      </c>
      <c r="X39" s="250"/>
      <c r="Y39" s="80"/>
    </row>
    <row r="40" spans="1:25" ht="39.75" customHeight="1" thickTop="1" thickBot="1" x14ac:dyDescent="0.3">
      <c r="A40" s="80"/>
      <c r="C40" s="415"/>
      <c r="D40" s="416"/>
      <c r="E40" s="416"/>
      <c r="F40" s="416"/>
      <c r="G40" s="416"/>
      <c r="H40" s="416"/>
      <c r="I40" s="416"/>
      <c r="J40" s="416"/>
      <c r="K40" s="416"/>
      <c r="L40" s="417"/>
      <c r="M40" s="247"/>
      <c r="N40" s="245" t="s">
        <v>356</v>
      </c>
      <c r="O40" s="418"/>
      <c r="P40" s="419"/>
      <c r="Q40" s="419"/>
      <c r="R40" s="419"/>
      <c r="S40" s="419"/>
      <c r="T40" s="419"/>
      <c r="U40" s="419"/>
      <c r="V40" s="420"/>
      <c r="W40" s="249" t="s">
        <v>358</v>
      </c>
      <c r="X40" s="250"/>
      <c r="Y40" s="80"/>
    </row>
    <row r="41" spans="1:25" ht="39.75" customHeight="1" thickTop="1" thickBot="1" x14ac:dyDescent="0.3">
      <c r="A41" s="80"/>
      <c r="C41" s="415"/>
      <c r="D41" s="416"/>
      <c r="E41" s="416"/>
      <c r="F41" s="416"/>
      <c r="G41" s="416"/>
      <c r="H41" s="416"/>
      <c r="I41" s="416"/>
      <c r="J41" s="416"/>
      <c r="K41" s="416"/>
      <c r="L41" s="417"/>
      <c r="M41" s="247"/>
      <c r="N41" s="410" t="s">
        <v>359</v>
      </c>
      <c r="O41" s="409"/>
      <c r="P41" s="409"/>
      <c r="Q41" s="409"/>
      <c r="R41" s="409"/>
      <c r="S41" s="409"/>
      <c r="T41" s="409"/>
      <c r="U41" s="409"/>
      <c r="V41" s="409"/>
      <c r="W41" s="410"/>
      <c r="X41" s="409"/>
      <c r="Y41" s="80"/>
    </row>
    <row r="42" spans="1:25" ht="32.1" customHeight="1" thickTop="1" thickBot="1" x14ac:dyDescent="0.3">
      <c r="A42" s="80"/>
      <c r="C42" s="415"/>
      <c r="D42" s="416"/>
      <c r="E42" s="416"/>
      <c r="F42" s="416"/>
      <c r="G42" s="416"/>
      <c r="H42" s="416"/>
      <c r="I42" s="416"/>
      <c r="J42" s="416"/>
      <c r="K42" s="416"/>
      <c r="L42" s="417"/>
      <c r="M42" s="248"/>
      <c r="N42" s="399"/>
      <c r="O42" s="400"/>
      <c r="P42" s="400"/>
      <c r="Q42" s="400"/>
      <c r="R42" s="400"/>
      <c r="S42" s="400"/>
      <c r="T42" s="400"/>
      <c r="U42" s="400"/>
      <c r="V42" s="400"/>
      <c r="W42" s="400"/>
      <c r="X42" s="401"/>
      <c r="Y42" s="80"/>
    </row>
    <row r="43" spans="1:25" ht="39.75" customHeight="1" thickTop="1" thickBot="1" x14ac:dyDescent="0.3">
      <c r="A43" s="80"/>
      <c r="C43" s="409" t="s">
        <v>360</v>
      </c>
      <c r="D43" s="409"/>
      <c r="E43" s="409"/>
      <c r="F43" s="409"/>
      <c r="G43" s="409"/>
      <c r="H43" s="409"/>
      <c r="I43" s="409"/>
      <c r="J43" s="409"/>
      <c r="K43" s="409"/>
      <c r="L43" s="409"/>
      <c r="M43" s="246"/>
      <c r="N43" s="402"/>
      <c r="O43" s="403"/>
      <c r="P43" s="403"/>
      <c r="Q43" s="403"/>
      <c r="R43" s="403"/>
      <c r="S43" s="403"/>
      <c r="T43" s="403"/>
      <c r="U43" s="403"/>
      <c r="V43" s="403"/>
      <c r="W43" s="403"/>
      <c r="X43" s="404"/>
      <c r="Y43" s="80"/>
    </row>
    <row r="44" spans="1:25" ht="32.1" customHeight="1" thickTop="1" thickBot="1" x14ac:dyDescent="0.3">
      <c r="A44" s="80"/>
      <c r="C44" s="399"/>
      <c r="D44" s="400"/>
      <c r="E44" s="400"/>
      <c r="F44" s="400"/>
      <c r="G44" s="400"/>
      <c r="H44" s="400"/>
      <c r="I44" s="400"/>
      <c r="J44" s="400"/>
      <c r="K44" s="400"/>
      <c r="L44" s="401"/>
      <c r="M44" s="248"/>
      <c r="N44" s="405"/>
      <c r="O44" s="406"/>
      <c r="P44" s="406"/>
      <c r="Q44" s="406"/>
      <c r="R44" s="406"/>
      <c r="S44" s="406"/>
      <c r="T44" s="406"/>
      <c r="U44" s="406"/>
      <c r="V44" s="406"/>
      <c r="W44" s="406"/>
      <c r="X44" s="407"/>
      <c r="Y44" s="80"/>
    </row>
    <row r="45" spans="1:25" ht="39.75" customHeight="1" thickTop="1" thickBot="1" x14ac:dyDescent="0.3">
      <c r="A45" s="80"/>
      <c r="C45" s="402"/>
      <c r="D45" s="403"/>
      <c r="E45" s="403"/>
      <c r="F45" s="403"/>
      <c r="G45" s="403"/>
      <c r="H45" s="403"/>
      <c r="I45" s="403"/>
      <c r="J45" s="403"/>
      <c r="K45" s="403"/>
      <c r="L45" s="404"/>
      <c r="M45" s="247"/>
      <c r="N45" s="409" t="s">
        <v>361</v>
      </c>
      <c r="O45" s="409"/>
      <c r="P45" s="409"/>
      <c r="Q45" s="409"/>
      <c r="R45" s="409"/>
      <c r="S45" s="409"/>
      <c r="T45" s="409"/>
      <c r="U45" s="409"/>
      <c r="V45" s="409"/>
      <c r="W45" s="409"/>
      <c r="X45" s="409"/>
      <c r="Y45" s="80"/>
    </row>
    <row r="46" spans="1:25" ht="32.1" customHeight="1" thickTop="1" thickBot="1" x14ac:dyDescent="0.3">
      <c r="A46" s="80"/>
      <c r="C46" s="402"/>
      <c r="D46" s="403"/>
      <c r="E46" s="403"/>
      <c r="F46" s="403"/>
      <c r="G46" s="403"/>
      <c r="H46" s="403"/>
      <c r="I46" s="403"/>
      <c r="J46" s="403"/>
      <c r="K46" s="403"/>
      <c r="L46" s="404"/>
      <c r="M46" s="248"/>
      <c r="N46" s="399"/>
      <c r="O46" s="400"/>
      <c r="P46" s="400"/>
      <c r="Q46" s="400"/>
      <c r="R46" s="400"/>
      <c r="S46" s="400"/>
      <c r="T46" s="400"/>
      <c r="U46" s="400"/>
      <c r="V46" s="400"/>
      <c r="W46" s="400"/>
      <c r="X46" s="401"/>
      <c r="Y46" s="80"/>
    </row>
    <row r="47" spans="1:25" ht="32.1" customHeight="1" thickTop="1" thickBot="1" x14ac:dyDescent="0.3">
      <c r="A47" s="80"/>
      <c r="C47" s="402"/>
      <c r="D47" s="403"/>
      <c r="E47" s="403"/>
      <c r="F47" s="403"/>
      <c r="G47" s="403"/>
      <c r="H47" s="403"/>
      <c r="I47" s="403"/>
      <c r="J47" s="403"/>
      <c r="K47" s="403"/>
      <c r="L47" s="404"/>
      <c r="M47" s="248"/>
      <c r="N47" s="402"/>
      <c r="O47" s="403"/>
      <c r="P47" s="403"/>
      <c r="Q47" s="403"/>
      <c r="R47" s="403"/>
      <c r="S47" s="403"/>
      <c r="T47" s="403"/>
      <c r="U47" s="403"/>
      <c r="V47" s="403"/>
      <c r="W47" s="403"/>
      <c r="X47" s="404"/>
      <c r="Y47" s="80"/>
    </row>
    <row r="48" spans="1:25" ht="32.1" customHeight="1" thickTop="1" thickBot="1" x14ac:dyDescent="0.3">
      <c r="A48" s="80"/>
      <c r="C48" s="402"/>
      <c r="D48" s="403"/>
      <c r="E48" s="403"/>
      <c r="F48" s="403"/>
      <c r="G48" s="403"/>
      <c r="H48" s="403"/>
      <c r="I48" s="403"/>
      <c r="J48" s="403"/>
      <c r="K48" s="403"/>
      <c r="L48" s="404"/>
      <c r="M48" s="248"/>
      <c r="N48" s="405"/>
      <c r="O48" s="406"/>
      <c r="P48" s="406"/>
      <c r="Q48" s="406"/>
      <c r="R48" s="406"/>
      <c r="S48" s="406"/>
      <c r="T48" s="406"/>
      <c r="U48" s="406"/>
      <c r="V48" s="406"/>
      <c r="W48" s="406"/>
      <c r="X48" s="407"/>
      <c r="Y48" s="80"/>
    </row>
    <row r="49" spans="1:25" ht="39.75" customHeight="1" thickTop="1" thickBot="1" x14ac:dyDescent="0.3">
      <c r="A49" s="80"/>
      <c r="C49" s="402"/>
      <c r="D49" s="403"/>
      <c r="E49" s="403"/>
      <c r="F49" s="403"/>
      <c r="G49" s="403"/>
      <c r="H49" s="403"/>
      <c r="I49" s="403"/>
      <c r="J49" s="403"/>
      <c r="K49" s="403"/>
      <c r="L49" s="404"/>
      <c r="M49" s="247"/>
      <c r="N49" s="409" t="s">
        <v>362</v>
      </c>
      <c r="O49" s="409"/>
      <c r="P49" s="409"/>
      <c r="Q49" s="409"/>
      <c r="R49" s="409"/>
      <c r="S49" s="409"/>
      <c r="T49" s="409"/>
      <c r="U49" s="409"/>
      <c r="V49" s="409"/>
      <c r="W49" s="409"/>
      <c r="X49" s="409"/>
      <c r="Y49" s="80"/>
    </row>
    <row r="50" spans="1:25" ht="32.1" customHeight="1" thickTop="1" thickBot="1" x14ac:dyDescent="0.3">
      <c r="A50" s="80"/>
      <c r="C50" s="402"/>
      <c r="D50" s="403"/>
      <c r="E50" s="403"/>
      <c r="F50" s="403"/>
      <c r="G50" s="403"/>
      <c r="H50" s="403"/>
      <c r="I50" s="403"/>
      <c r="J50" s="403"/>
      <c r="K50" s="403"/>
      <c r="L50" s="404"/>
      <c r="M50" s="248"/>
      <c r="N50" s="399"/>
      <c r="O50" s="400"/>
      <c r="P50" s="400"/>
      <c r="Q50" s="400"/>
      <c r="R50" s="400"/>
      <c r="S50" s="400"/>
      <c r="T50" s="400"/>
      <c r="U50" s="400"/>
      <c r="V50" s="400"/>
      <c r="W50" s="400"/>
      <c r="X50" s="401"/>
      <c r="Y50" s="80"/>
    </row>
    <row r="51" spans="1:25" ht="32.1" customHeight="1" thickTop="1" thickBot="1" x14ac:dyDescent="0.3">
      <c r="A51" s="80"/>
      <c r="C51" s="402"/>
      <c r="D51" s="403"/>
      <c r="E51" s="403"/>
      <c r="F51" s="403"/>
      <c r="G51" s="403"/>
      <c r="H51" s="403"/>
      <c r="I51" s="403"/>
      <c r="J51" s="403"/>
      <c r="K51" s="403"/>
      <c r="L51" s="404"/>
      <c r="M51" s="248"/>
      <c r="N51" s="402"/>
      <c r="O51" s="403"/>
      <c r="P51" s="403"/>
      <c r="Q51" s="403"/>
      <c r="R51" s="403"/>
      <c r="S51" s="403"/>
      <c r="T51" s="403"/>
      <c r="U51" s="403"/>
      <c r="V51" s="403"/>
      <c r="W51" s="403"/>
      <c r="X51" s="404"/>
      <c r="Y51" s="80"/>
    </row>
    <row r="52" spans="1:25" ht="32.1" customHeight="1" thickTop="1" thickBot="1" x14ac:dyDescent="0.3">
      <c r="A52" s="80"/>
      <c r="C52" s="402"/>
      <c r="D52" s="403"/>
      <c r="E52" s="403"/>
      <c r="F52" s="403"/>
      <c r="G52" s="403"/>
      <c r="H52" s="403"/>
      <c r="I52" s="403"/>
      <c r="J52" s="403"/>
      <c r="K52" s="403"/>
      <c r="L52" s="404"/>
      <c r="M52" s="248"/>
      <c r="N52" s="402"/>
      <c r="O52" s="403"/>
      <c r="P52" s="403"/>
      <c r="Q52" s="403"/>
      <c r="R52" s="403"/>
      <c r="S52" s="403"/>
      <c r="T52" s="403"/>
      <c r="U52" s="403"/>
      <c r="V52" s="403"/>
      <c r="W52" s="403"/>
      <c r="X52" s="404"/>
      <c r="Y52" s="80"/>
    </row>
    <row r="53" spans="1:25" ht="32.1" customHeight="1" thickTop="1" thickBot="1" x14ac:dyDescent="0.3">
      <c r="A53" s="80"/>
      <c r="C53" s="405"/>
      <c r="D53" s="406"/>
      <c r="E53" s="406"/>
      <c r="F53" s="406"/>
      <c r="G53" s="406"/>
      <c r="H53" s="406"/>
      <c r="I53" s="406"/>
      <c r="J53" s="406"/>
      <c r="K53" s="406"/>
      <c r="L53" s="407"/>
      <c r="M53" s="248"/>
      <c r="N53" s="405"/>
      <c r="O53" s="406"/>
      <c r="P53" s="406"/>
      <c r="Q53" s="406"/>
      <c r="R53" s="406"/>
      <c r="S53" s="406"/>
      <c r="T53" s="406"/>
      <c r="U53" s="406"/>
      <c r="V53" s="406"/>
      <c r="W53" s="406"/>
      <c r="X53" s="407"/>
      <c r="Y53" s="80"/>
    </row>
    <row r="54" spans="1:25" ht="39.75" customHeight="1" thickTop="1" thickBot="1" x14ac:dyDescent="0.3">
      <c r="A54" s="80"/>
      <c r="C54" s="409" t="s">
        <v>363</v>
      </c>
      <c r="D54" s="409"/>
      <c r="E54" s="409"/>
      <c r="F54" s="409"/>
      <c r="G54" s="409"/>
      <c r="H54" s="409"/>
      <c r="I54" s="409"/>
      <c r="J54" s="409"/>
      <c r="K54" s="409"/>
      <c r="L54" s="409"/>
      <c r="M54" s="410"/>
      <c r="N54" s="409"/>
      <c r="O54" s="409"/>
      <c r="P54" s="409"/>
      <c r="Q54" s="409"/>
      <c r="R54" s="409"/>
      <c r="S54" s="409"/>
      <c r="T54" s="409"/>
      <c r="U54" s="409"/>
      <c r="V54" s="409"/>
      <c r="W54" s="409"/>
      <c r="X54" s="409"/>
      <c r="Y54" s="80"/>
    </row>
    <row r="55" spans="1:25" ht="35.1" customHeight="1" thickTop="1" thickBot="1" x14ac:dyDescent="0.3">
      <c r="A55" s="80"/>
      <c r="C55" s="399"/>
      <c r="D55" s="400"/>
      <c r="E55" s="400"/>
      <c r="F55" s="400"/>
      <c r="G55" s="400"/>
      <c r="H55" s="400"/>
      <c r="I55" s="400"/>
      <c r="J55" s="400"/>
      <c r="K55" s="400"/>
      <c r="L55" s="400"/>
      <c r="M55" s="400"/>
      <c r="N55" s="400"/>
      <c r="O55" s="400"/>
      <c r="P55" s="400"/>
      <c r="Q55" s="400"/>
      <c r="R55" s="400"/>
      <c r="S55" s="400"/>
      <c r="T55" s="400"/>
      <c r="U55" s="400"/>
      <c r="V55" s="400"/>
      <c r="W55" s="400"/>
      <c r="X55" s="401"/>
      <c r="Y55" s="80"/>
    </row>
    <row r="56" spans="1:25" ht="35.1" customHeight="1" thickTop="1" thickBot="1" x14ac:dyDescent="0.3">
      <c r="A56" s="80"/>
      <c r="C56" s="402"/>
      <c r="D56" s="403"/>
      <c r="E56" s="403"/>
      <c r="F56" s="403"/>
      <c r="G56" s="403"/>
      <c r="H56" s="403"/>
      <c r="I56" s="403"/>
      <c r="J56" s="403"/>
      <c r="K56" s="403"/>
      <c r="L56" s="403"/>
      <c r="M56" s="403"/>
      <c r="N56" s="403"/>
      <c r="O56" s="403"/>
      <c r="P56" s="403"/>
      <c r="Q56" s="403"/>
      <c r="R56" s="403"/>
      <c r="S56" s="403"/>
      <c r="T56" s="403"/>
      <c r="U56" s="403"/>
      <c r="V56" s="403"/>
      <c r="W56" s="403"/>
      <c r="X56" s="404"/>
      <c r="Y56" s="80"/>
    </row>
    <row r="57" spans="1:25" ht="35.1" customHeight="1" thickTop="1" thickBot="1" x14ac:dyDescent="0.3">
      <c r="A57" s="80"/>
      <c r="C57" s="402"/>
      <c r="D57" s="403"/>
      <c r="E57" s="403"/>
      <c r="F57" s="403"/>
      <c r="G57" s="403"/>
      <c r="H57" s="403"/>
      <c r="I57" s="403"/>
      <c r="J57" s="403"/>
      <c r="K57" s="403"/>
      <c r="L57" s="403"/>
      <c r="M57" s="403"/>
      <c r="N57" s="403"/>
      <c r="O57" s="403"/>
      <c r="P57" s="403"/>
      <c r="Q57" s="403"/>
      <c r="R57" s="403"/>
      <c r="S57" s="403"/>
      <c r="T57" s="403"/>
      <c r="U57" s="403"/>
      <c r="V57" s="403"/>
      <c r="W57" s="403"/>
      <c r="X57" s="404"/>
      <c r="Y57" s="80"/>
    </row>
    <row r="58" spans="1:25" ht="35.1" customHeight="1" thickTop="1" thickBot="1" x14ac:dyDescent="0.3">
      <c r="A58" s="80"/>
      <c r="C58" s="402"/>
      <c r="D58" s="403"/>
      <c r="E58" s="403"/>
      <c r="F58" s="403"/>
      <c r="G58" s="403"/>
      <c r="H58" s="403"/>
      <c r="I58" s="403"/>
      <c r="J58" s="403"/>
      <c r="K58" s="403"/>
      <c r="L58" s="403"/>
      <c r="M58" s="403"/>
      <c r="N58" s="403"/>
      <c r="O58" s="403"/>
      <c r="P58" s="403"/>
      <c r="Q58" s="403"/>
      <c r="R58" s="403"/>
      <c r="S58" s="403"/>
      <c r="T58" s="403"/>
      <c r="U58" s="403"/>
      <c r="V58" s="403"/>
      <c r="W58" s="403"/>
      <c r="X58" s="404"/>
      <c r="Y58" s="80"/>
    </row>
    <row r="59" spans="1:25" ht="35.1" customHeight="1" thickTop="1" thickBot="1" x14ac:dyDescent="0.3">
      <c r="A59" s="80"/>
      <c r="C59" s="402"/>
      <c r="D59" s="403"/>
      <c r="E59" s="403"/>
      <c r="F59" s="403"/>
      <c r="G59" s="403"/>
      <c r="H59" s="403"/>
      <c r="I59" s="403"/>
      <c r="J59" s="403"/>
      <c r="K59" s="403"/>
      <c r="L59" s="403"/>
      <c r="M59" s="403"/>
      <c r="N59" s="403"/>
      <c r="O59" s="403"/>
      <c r="P59" s="403"/>
      <c r="Q59" s="403"/>
      <c r="R59" s="403"/>
      <c r="S59" s="403"/>
      <c r="T59" s="403"/>
      <c r="U59" s="403"/>
      <c r="V59" s="403"/>
      <c r="W59" s="403"/>
      <c r="X59" s="404"/>
      <c r="Y59" s="80"/>
    </row>
    <row r="60" spans="1:25" ht="35.1" customHeight="1" thickTop="1" thickBot="1" x14ac:dyDescent="0.3">
      <c r="A60" s="80"/>
      <c r="C60" s="402"/>
      <c r="D60" s="403"/>
      <c r="E60" s="403"/>
      <c r="F60" s="403"/>
      <c r="G60" s="403"/>
      <c r="H60" s="403"/>
      <c r="I60" s="403"/>
      <c r="J60" s="403"/>
      <c r="K60" s="403"/>
      <c r="L60" s="403"/>
      <c r="M60" s="403"/>
      <c r="N60" s="403"/>
      <c r="O60" s="403"/>
      <c r="P60" s="403"/>
      <c r="Q60" s="403"/>
      <c r="R60" s="403"/>
      <c r="S60" s="403"/>
      <c r="T60" s="403"/>
      <c r="U60" s="403"/>
      <c r="V60" s="403"/>
      <c r="W60" s="403"/>
      <c r="X60" s="404"/>
      <c r="Y60" s="80"/>
    </row>
    <row r="61" spans="1:25" ht="35.1" customHeight="1" thickTop="1" thickBot="1" x14ac:dyDescent="0.3">
      <c r="A61" s="80"/>
      <c r="C61" s="405"/>
      <c r="D61" s="406"/>
      <c r="E61" s="406"/>
      <c r="F61" s="406"/>
      <c r="G61" s="406"/>
      <c r="H61" s="406"/>
      <c r="I61" s="406"/>
      <c r="J61" s="406"/>
      <c r="K61" s="406"/>
      <c r="L61" s="406"/>
      <c r="M61" s="406"/>
      <c r="N61" s="406"/>
      <c r="O61" s="406"/>
      <c r="P61" s="406"/>
      <c r="Q61" s="406"/>
      <c r="R61" s="406"/>
      <c r="S61" s="406"/>
      <c r="T61" s="406"/>
      <c r="U61" s="406"/>
      <c r="V61" s="406"/>
      <c r="W61" s="406"/>
      <c r="X61" s="407"/>
      <c r="Y61" s="80"/>
    </row>
    <row r="62" spans="1:25" ht="39.75" customHeight="1" thickTop="1" thickBot="1" x14ac:dyDescent="0.3">
      <c r="A62" s="80"/>
      <c r="C62" s="408" t="s">
        <v>364</v>
      </c>
      <c r="D62" s="408"/>
      <c r="E62" s="408"/>
      <c r="F62" s="408"/>
      <c r="G62" s="408" t="s">
        <v>365</v>
      </c>
      <c r="H62" s="408"/>
      <c r="I62" s="408"/>
      <c r="J62" s="408"/>
      <c r="K62" s="408"/>
      <c r="L62" s="408"/>
      <c r="M62" s="408"/>
      <c r="N62" s="408"/>
      <c r="O62" s="408"/>
      <c r="P62" s="408"/>
      <c r="Q62" s="408" t="s">
        <v>366</v>
      </c>
      <c r="R62" s="408"/>
      <c r="S62" s="408"/>
      <c r="T62" s="408"/>
      <c r="U62" s="408"/>
      <c r="V62" s="408"/>
      <c r="W62" s="408"/>
      <c r="X62" s="408"/>
      <c r="Y62" s="80"/>
    </row>
    <row r="63" spans="1:25" ht="35.1" customHeight="1" thickTop="1" thickBot="1" x14ac:dyDescent="0.3">
      <c r="A63" s="80"/>
      <c r="C63" s="399"/>
      <c r="D63" s="400"/>
      <c r="E63" s="400"/>
      <c r="F63" s="401"/>
      <c r="G63" s="399"/>
      <c r="H63" s="400"/>
      <c r="I63" s="400"/>
      <c r="J63" s="400"/>
      <c r="K63" s="400"/>
      <c r="L63" s="400"/>
      <c r="M63" s="400"/>
      <c r="N63" s="400"/>
      <c r="O63" s="400"/>
      <c r="P63" s="401"/>
      <c r="Q63" s="399"/>
      <c r="R63" s="400"/>
      <c r="S63" s="400"/>
      <c r="T63" s="400"/>
      <c r="U63" s="400"/>
      <c r="V63" s="400"/>
      <c r="W63" s="400"/>
      <c r="X63" s="401"/>
      <c r="Y63" s="80"/>
    </row>
    <row r="64" spans="1:25" ht="35.1" customHeight="1" thickTop="1" thickBot="1" x14ac:dyDescent="0.3">
      <c r="A64" s="80"/>
      <c r="C64" s="402"/>
      <c r="D64" s="403"/>
      <c r="E64" s="403"/>
      <c r="F64" s="404"/>
      <c r="G64" s="402"/>
      <c r="H64" s="403"/>
      <c r="I64" s="403"/>
      <c r="J64" s="403"/>
      <c r="K64" s="403"/>
      <c r="L64" s="403"/>
      <c r="M64" s="403"/>
      <c r="N64" s="403"/>
      <c r="O64" s="403"/>
      <c r="P64" s="404"/>
      <c r="Q64" s="402"/>
      <c r="R64" s="403"/>
      <c r="S64" s="403"/>
      <c r="T64" s="403"/>
      <c r="U64" s="403"/>
      <c r="V64" s="403"/>
      <c r="W64" s="403"/>
      <c r="X64" s="404"/>
      <c r="Y64" s="80"/>
    </row>
    <row r="65" spans="1:25" ht="35.1" customHeight="1" thickTop="1" thickBot="1" x14ac:dyDescent="0.3">
      <c r="A65" s="80"/>
      <c r="C65" s="402"/>
      <c r="D65" s="403"/>
      <c r="E65" s="403"/>
      <c r="F65" s="404"/>
      <c r="G65" s="402"/>
      <c r="H65" s="403"/>
      <c r="I65" s="403"/>
      <c r="J65" s="403"/>
      <c r="K65" s="403"/>
      <c r="L65" s="403"/>
      <c r="M65" s="403"/>
      <c r="N65" s="403"/>
      <c r="O65" s="403"/>
      <c r="P65" s="404"/>
      <c r="Q65" s="402"/>
      <c r="R65" s="403"/>
      <c r="S65" s="403"/>
      <c r="T65" s="403"/>
      <c r="U65" s="403"/>
      <c r="V65" s="403"/>
      <c r="W65" s="403"/>
      <c r="X65" s="404"/>
      <c r="Y65" s="80"/>
    </row>
    <row r="66" spans="1:25" ht="35.1" customHeight="1" thickTop="1" thickBot="1" x14ac:dyDescent="0.3">
      <c r="A66" s="80"/>
      <c r="C66" s="402"/>
      <c r="D66" s="403"/>
      <c r="E66" s="403"/>
      <c r="F66" s="404"/>
      <c r="G66" s="402"/>
      <c r="H66" s="403"/>
      <c r="I66" s="403"/>
      <c r="J66" s="403"/>
      <c r="K66" s="403"/>
      <c r="L66" s="403"/>
      <c r="M66" s="403"/>
      <c r="N66" s="403"/>
      <c r="O66" s="403"/>
      <c r="P66" s="404"/>
      <c r="Q66" s="402"/>
      <c r="R66" s="403"/>
      <c r="S66" s="403"/>
      <c r="T66" s="403"/>
      <c r="U66" s="403"/>
      <c r="V66" s="403"/>
      <c r="W66" s="403"/>
      <c r="X66" s="404"/>
      <c r="Y66" s="80"/>
    </row>
    <row r="67" spans="1:25" ht="35.1" customHeight="1" thickTop="1" thickBot="1" x14ac:dyDescent="0.3">
      <c r="A67" s="80"/>
      <c r="C67" s="405"/>
      <c r="D67" s="406"/>
      <c r="E67" s="406"/>
      <c r="F67" s="407"/>
      <c r="G67" s="405"/>
      <c r="H67" s="406"/>
      <c r="I67" s="406"/>
      <c r="J67" s="406"/>
      <c r="K67" s="406"/>
      <c r="L67" s="406"/>
      <c r="M67" s="406"/>
      <c r="N67" s="406"/>
      <c r="O67" s="406"/>
      <c r="P67" s="407"/>
      <c r="Q67" s="405"/>
      <c r="R67" s="406"/>
      <c r="S67" s="406"/>
      <c r="T67" s="406"/>
      <c r="U67" s="406"/>
      <c r="V67" s="406"/>
      <c r="W67" s="406"/>
      <c r="X67" s="407"/>
      <c r="Y67" s="80"/>
    </row>
    <row r="68" spans="1:25" ht="39.75" customHeight="1" thickTop="1" thickBot="1" x14ac:dyDescent="0.3">
      <c r="A68" s="80"/>
      <c r="C68" s="408" t="s">
        <v>367</v>
      </c>
      <c r="D68" s="408"/>
      <c r="E68" s="408"/>
      <c r="F68" s="408"/>
      <c r="G68" s="408" t="s">
        <v>368</v>
      </c>
      <c r="H68" s="408"/>
      <c r="I68" s="408"/>
      <c r="J68" s="408"/>
      <c r="K68" s="408"/>
      <c r="L68" s="408"/>
      <c r="M68" s="408"/>
      <c r="N68" s="408"/>
      <c r="O68" s="408"/>
      <c r="P68" s="408"/>
      <c r="Q68" s="408" t="s">
        <v>369</v>
      </c>
      <c r="R68" s="408"/>
      <c r="S68" s="408"/>
      <c r="T68" s="408"/>
      <c r="U68" s="408"/>
      <c r="V68" s="408"/>
      <c r="W68" s="408"/>
      <c r="X68" s="408"/>
      <c r="Y68" s="80"/>
    </row>
    <row r="69" spans="1:25" ht="35.1" customHeight="1" thickTop="1" thickBot="1" x14ac:dyDescent="0.3">
      <c r="A69" s="80"/>
      <c r="C69" s="386"/>
      <c r="D69" s="387"/>
      <c r="E69" s="387"/>
      <c r="F69" s="388"/>
      <c r="G69" s="386"/>
      <c r="H69" s="387"/>
      <c r="I69" s="387"/>
      <c r="J69" s="387"/>
      <c r="K69" s="387"/>
      <c r="L69" s="387"/>
      <c r="M69" s="387"/>
      <c r="N69" s="387"/>
      <c r="O69" s="387"/>
      <c r="P69" s="388"/>
      <c r="Q69" s="386"/>
      <c r="R69" s="387"/>
      <c r="S69" s="387"/>
      <c r="T69" s="387"/>
      <c r="U69" s="387"/>
      <c r="V69" s="387"/>
      <c r="W69" s="387"/>
      <c r="X69" s="388"/>
      <c r="Y69" s="80"/>
    </row>
    <row r="70" spans="1:25" ht="35.1" customHeight="1" thickTop="1" thickBot="1" x14ac:dyDescent="0.3">
      <c r="A70" s="80"/>
      <c r="C70" s="389"/>
      <c r="D70" s="390"/>
      <c r="E70" s="390"/>
      <c r="F70" s="391"/>
      <c r="G70" s="389"/>
      <c r="H70" s="390"/>
      <c r="I70" s="390"/>
      <c r="J70" s="390"/>
      <c r="K70" s="390"/>
      <c r="L70" s="390"/>
      <c r="M70" s="390"/>
      <c r="N70" s="390"/>
      <c r="O70" s="390"/>
      <c r="P70" s="391"/>
      <c r="Q70" s="389"/>
      <c r="R70" s="390"/>
      <c r="S70" s="390"/>
      <c r="T70" s="390"/>
      <c r="U70" s="390"/>
      <c r="V70" s="390"/>
      <c r="W70" s="390"/>
      <c r="X70" s="391"/>
      <c r="Y70" s="80"/>
    </row>
    <row r="71" spans="1:25" ht="35.1" customHeight="1" thickTop="1" thickBot="1" x14ac:dyDescent="0.3">
      <c r="A71" s="80"/>
      <c r="C71" s="389"/>
      <c r="D71" s="390"/>
      <c r="E71" s="390"/>
      <c r="F71" s="391"/>
      <c r="G71" s="389"/>
      <c r="H71" s="390"/>
      <c r="I71" s="390"/>
      <c r="J71" s="390"/>
      <c r="K71" s="390"/>
      <c r="L71" s="390"/>
      <c r="M71" s="390"/>
      <c r="N71" s="390"/>
      <c r="O71" s="390"/>
      <c r="P71" s="391"/>
      <c r="Q71" s="389"/>
      <c r="R71" s="390"/>
      <c r="S71" s="390"/>
      <c r="T71" s="390"/>
      <c r="U71" s="390"/>
      <c r="V71" s="390"/>
      <c r="W71" s="390"/>
      <c r="X71" s="391"/>
      <c r="Y71" s="80"/>
    </row>
    <row r="72" spans="1:25" ht="35.1" customHeight="1" thickTop="1" thickBot="1" x14ac:dyDescent="0.3">
      <c r="A72" s="80"/>
      <c r="C72" s="389"/>
      <c r="D72" s="390"/>
      <c r="E72" s="390"/>
      <c r="F72" s="391"/>
      <c r="G72" s="389"/>
      <c r="H72" s="390"/>
      <c r="I72" s="390"/>
      <c r="J72" s="390"/>
      <c r="K72" s="390"/>
      <c r="L72" s="390"/>
      <c r="M72" s="390"/>
      <c r="N72" s="390"/>
      <c r="O72" s="390"/>
      <c r="P72" s="391"/>
      <c r="Q72" s="389"/>
      <c r="R72" s="390"/>
      <c r="S72" s="390"/>
      <c r="T72" s="390"/>
      <c r="U72" s="390"/>
      <c r="V72" s="390"/>
      <c r="W72" s="390"/>
      <c r="X72" s="391"/>
      <c r="Y72" s="80"/>
    </row>
    <row r="73" spans="1:25" ht="35.1" customHeight="1" thickTop="1" thickBot="1" x14ac:dyDescent="0.3">
      <c r="A73" s="80"/>
      <c r="C73" s="389"/>
      <c r="D73" s="390"/>
      <c r="E73" s="390"/>
      <c r="F73" s="391"/>
      <c r="G73" s="389"/>
      <c r="H73" s="390"/>
      <c r="I73" s="390"/>
      <c r="J73" s="390"/>
      <c r="K73" s="390"/>
      <c r="L73" s="390"/>
      <c r="M73" s="390"/>
      <c r="N73" s="390"/>
      <c r="O73" s="390"/>
      <c r="P73" s="391"/>
      <c r="Q73" s="389"/>
      <c r="R73" s="390"/>
      <c r="S73" s="390"/>
      <c r="T73" s="390"/>
      <c r="U73" s="390"/>
      <c r="V73" s="390"/>
      <c r="W73" s="390"/>
      <c r="X73" s="391"/>
      <c r="Y73" s="80"/>
    </row>
    <row r="74" spans="1:25" ht="35.1" customHeight="1" thickTop="1" thickBot="1" x14ac:dyDescent="0.3">
      <c r="A74" s="80"/>
      <c r="C74" s="392"/>
      <c r="D74" s="393"/>
      <c r="E74" s="393"/>
      <c r="F74" s="394"/>
      <c r="G74" s="392"/>
      <c r="H74" s="393"/>
      <c r="I74" s="393"/>
      <c r="J74" s="393"/>
      <c r="K74" s="393"/>
      <c r="L74" s="393"/>
      <c r="M74" s="393"/>
      <c r="N74" s="393"/>
      <c r="O74" s="393"/>
      <c r="P74" s="394"/>
      <c r="Q74" s="392"/>
      <c r="R74" s="393"/>
      <c r="S74" s="393"/>
      <c r="T74" s="393"/>
      <c r="U74" s="393"/>
      <c r="V74" s="393"/>
      <c r="W74" s="393"/>
      <c r="X74" s="394"/>
      <c r="Y74" s="80"/>
    </row>
    <row r="75" spans="1:25" ht="16.5" thickTop="1" x14ac:dyDescent="0.25">
      <c r="A75" s="80"/>
      <c r="B75" s="82"/>
      <c r="C75" s="80" t="str">
        <f>C36&amp;" - Seite 2"</f>
        <v>Das Lied von Eis und Feuer Charakterbogen - Seite 2</v>
      </c>
      <c r="D75" s="81"/>
      <c r="E75" s="81"/>
      <c r="F75" s="81"/>
      <c r="G75" s="81"/>
      <c r="H75" s="80"/>
      <c r="I75" s="80"/>
      <c r="J75" s="80"/>
      <c r="K75" s="80"/>
      <c r="L75" s="80"/>
      <c r="M75" s="82"/>
      <c r="N75" s="80"/>
      <c r="O75" s="80"/>
      <c r="P75" s="80"/>
      <c r="Q75" s="80"/>
      <c r="R75" s="80"/>
      <c r="S75" s="80"/>
      <c r="T75" s="80"/>
      <c r="U75" s="80"/>
      <c r="V75" s="81"/>
      <c r="W75" s="398" t="str">
        <f>W36</f>
        <v>Version 24.8.17 © Jaegers.Net</v>
      </c>
      <c r="X75" s="398"/>
      <c r="Y75" s="80"/>
    </row>
  </sheetData>
  <sheetProtection algorithmName="SHA-512" hashValue="fKo7uGesPSYiYjgyyjOAFCnMnhgKRpghsTa87uGGUkla8r9xE3dS0dbZbpTsg8xV/DkaVwI5RkbR6g9jZSVlWw==" saltValue="fgXEkZ6pvebuJMqfaAigCw==" spinCount="100000" sheet="1" objects="1" scenarios="1"/>
  <mergeCells count="129">
    <mergeCell ref="W75:X75"/>
    <mergeCell ref="C68:F68"/>
    <mergeCell ref="G68:P68"/>
    <mergeCell ref="Q68:X68"/>
    <mergeCell ref="C69:F74"/>
    <mergeCell ref="G69:P74"/>
    <mergeCell ref="Q69:X74"/>
    <mergeCell ref="C54:X54"/>
    <mergeCell ref="C55:X61"/>
    <mergeCell ref="C62:F62"/>
    <mergeCell ref="G62:P62"/>
    <mergeCell ref="Q62:X62"/>
    <mergeCell ref="C63:F67"/>
    <mergeCell ref="G63:P67"/>
    <mergeCell ref="Q63:X67"/>
    <mergeCell ref="C42:L42"/>
    <mergeCell ref="N42:X44"/>
    <mergeCell ref="C43:L43"/>
    <mergeCell ref="C44:L53"/>
    <mergeCell ref="N45:X45"/>
    <mergeCell ref="N46:X48"/>
    <mergeCell ref="N49:X49"/>
    <mergeCell ref="N50:X53"/>
    <mergeCell ref="C39:L39"/>
    <mergeCell ref="O39:V39"/>
    <mergeCell ref="C40:L40"/>
    <mergeCell ref="O40:V40"/>
    <mergeCell ref="C41:L41"/>
    <mergeCell ref="N41:X41"/>
    <mergeCell ref="X34:X35"/>
    <mergeCell ref="F35:L35"/>
    <mergeCell ref="P35:U35"/>
    <mergeCell ref="W36:X36"/>
    <mergeCell ref="C38:L38"/>
    <mergeCell ref="N38:X38"/>
    <mergeCell ref="O34:O35"/>
    <mergeCell ref="P34:Q34"/>
    <mergeCell ref="R34:S34"/>
    <mergeCell ref="T34:U34"/>
    <mergeCell ref="V34:V35"/>
    <mergeCell ref="W34:W35"/>
    <mergeCell ref="C32:E35"/>
    <mergeCell ref="F32:L32"/>
    <mergeCell ref="N32:N35"/>
    <mergeCell ref="O32:V32"/>
    <mergeCell ref="W32:W33"/>
    <mergeCell ref="X32:X33"/>
    <mergeCell ref="O33:P33"/>
    <mergeCell ref="Q33:R33"/>
    <mergeCell ref="S33:T33"/>
    <mergeCell ref="U33:V33"/>
    <mergeCell ref="D30:E30"/>
    <mergeCell ref="F30:I30"/>
    <mergeCell ref="J30:V30"/>
    <mergeCell ref="D31:E31"/>
    <mergeCell ref="F31:I31"/>
    <mergeCell ref="J31:V31"/>
    <mergeCell ref="D28:E28"/>
    <mergeCell ref="F28:I28"/>
    <mergeCell ref="J28:V28"/>
    <mergeCell ref="D29:E29"/>
    <mergeCell ref="F29:I29"/>
    <mergeCell ref="J29:V29"/>
    <mergeCell ref="C25:V25"/>
    <mergeCell ref="W25:X25"/>
    <mergeCell ref="D26:E26"/>
    <mergeCell ref="F26:I26"/>
    <mergeCell ref="J26:V26"/>
    <mergeCell ref="D27:E27"/>
    <mergeCell ref="F27:I27"/>
    <mergeCell ref="J27:V27"/>
    <mergeCell ref="W27:X27"/>
    <mergeCell ref="E15:X15"/>
    <mergeCell ref="C16:L16"/>
    <mergeCell ref="N16:V16"/>
    <mergeCell ref="W16:X16"/>
    <mergeCell ref="C17:L21"/>
    <mergeCell ref="N17:V17"/>
    <mergeCell ref="W17:X17"/>
    <mergeCell ref="N18:V18"/>
    <mergeCell ref="W18:X18"/>
    <mergeCell ref="N19:V19"/>
    <mergeCell ref="W19:X19"/>
    <mergeCell ref="N20:V20"/>
    <mergeCell ref="W20:X20"/>
    <mergeCell ref="N21:V23"/>
    <mergeCell ref="W21:X23"/>
    <mergeCell ref="C22:D24"/>
    <mergeCell ref="E24:L24"/>
    <mergeCell ref="N24:V24"/>
    <mergeCell ref="W24:X24"/>
    <mergeCell ref="E13:L13"/>
    <mergeCell ref="O13:V13"/>
    <mergeCell ref="W13:X13"/>
    <mergeCell ref="E14:L14"/>
    <mergeCell ref="O14:V14"/>
    <mergeCell ref="W14:X14"/>
    <mergeCell ref="E11:L11"/>
    <mergeCell ref="O11:V11"/>
    <mergeCell ref="W11:X11"/>
    <mergeCell ref="E12:L12"/>
    <mergeCell ref="O12:V12"/>
    <mergeCell ref="W12:X12"/>
    <mergeCell ref="E9:L9"/>
    <mergeCell ref="O9:V9"/>
    <mergeCell ref="W9:X9"/>
    <mergeCell ref="E10:L10"/>
    <mergeCell ref="O10:V10"/>
    <mergeCell ref="W10:X10"/>
    <mergeCell ref="E7:L7"/>
    <mergeCell ref="O7:V7"/>
    <mergeCell ref="W7:X7"/>
    <mergeCell ref="E8:L8"/>
    <mergeCell ref="O8:V8"/>
    <mergeCell ref="W8:X8"/>
    <mergeCell ref="C4:X4"/>
    <mergeCell ref="E5:L5"/>
    <mergeCell ref="O5:V5"/>
    <mergeCell ref="W5:X5"/>
    <mergeCell ref="E6:L6"/>
    <mergeCell ref="O6:V6"/>
    <mergeCell ref="W6:X6"/>
    <mergeCell ref="C1:W1"/>
    <mergeCell ref="X1:X2"/>
    <mergeCell ref="D2:W2"/>
    <mergeCell ref="D3:E3"/>
    <mergeCell ref="F3:I3"/>
    <mergeCell ref="J3:L3"/>
    <mergeCell ref="O3:W3"/>
  </mergeCells>
  <printOptions horizontalCentered="1"/>
  <pageMargins left="0.23622047244094491" right="0.23622047244094491" top="0.74803149606299213" bottom="0.74803149606299213" header="0.31496062992125984" footer="0.31496062992125984"/>
  <pageSetup paperSize="9" scale="57" fitToHeight="2" orientation="portrait" horizontalDpi="0" verticalDpi="0" r:id="rId1"/>
  <rowBreaks count="1" manualBreakCount="1">
    <brk id="36" max="24"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'_Tabellen und Listen'!$A$402:$A$405</xm:f>
          </x14:formula1>
          <xm:sqref>C27:C31</xm:sqref>
        </x14:dataValidation>
        <x14:dataValidation type="list" allowBlank="1" showInputMessage="1" showErrorMessage="1">
          <x14:formula1>
            <xm:f>'_Tabellen und Listen'!$A$332:$A$340</xm:f>
          </x14:formula1>
          <xm:sqref>W28:W29</xm:sqref>
        </x14:dataValidation>
        <x14:dataValidation type="list" allowBlank="1" showInputMessage="1" showErrorMessage="1">
          <x14:formula1>
            <xm:f>'_Tabellen und Listen'!$A$315:$A$329</xm:f>
          </x14:formula1>
          <xm:sqref>W26</xm:sqref>
        </x14:dataValidation>
        <x14:dataValidation type="list" allowBlank="1" showInputMessage="1" showErrorMessage="1">
          <x14:formula1>
            <xm:f>'_Tabellen und Listen'!A$342:A$400</xm:f>
          </x14:formula1>
          <xm:sqref>D27:D31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5"/>
  <sheetViews>
    <sheetView showZeros="0" zoomScaleNormal="100" workbookViewId="0">
      <selection activeCell="C32" sqref="C32:E35"/>
    </sheetView>
  </sheetViews>
  <sheetFormatPr baseColWidth="10" defaultRowHeight="15.75" x14ac:dyDescent="0.25"/>
  <cols>
    <col min="1" max="1" width="4.7109375" style="65" customWidth="1"/>
    <col min="2" max="2" width="3.28515625" style="70" hidden="1" customWidth="1"/>
    <col min="3" max="3" width="16" style="65" customWidth="1"/>
    <col min="4" max="4" width="16" style="66" customWidth="1"/>
    <col min="5" max="7" width="5.7109375" style="66" customWidth="1"/>
    <col min="8" max="12" width="5.7109375" style="65" customWidth="1"/>
    <col min="13" max="13" width="3.28515625" style="70" hidden="1" customWidth="1"/>
    <col min="14" max="14" width="16" style="65" customWidth="1"/>
    <col min="15" max="21" width="2" style="65" customWidth="1"/>
    <col min="22" max="22" width="2" style="66" customWidth="1"/>
    <col min="23" max="24" width="25.28515625" style="65" customWidth="1"/>
    <col min="25" max="25" width="4.7109375" style="65" customWidth="1"/>
    <col min="26" max="16384" width="11.42578125" style="65"/>
  </cols>
  <sheetData>
    <row r="1" spans="1:25" ht="16.5" customHeight="1" thickBot="1" x14ac:dyDescent="0.3">
      <c r="A1" s="80"/>
      <c r="C1" s="483"/>
      <c r="D1" s="483"/>
      <c r="E1" s="483"/>
      <c r="F1" s="483"/>
      <c r="G1" s="483"/>
      <c r="H1" s="483"/>
      <c r="I1" s="483"/>
      <c r="J1" s="483"/>
      <c r="K1" s="483"/>
      <c r="L1" s="483"/>
      <c r="M1" s="483"/>
      <c r="N1" s="483"/>
      <c r="O1" s="483"/>
      <c r="P1" s="483"/>
      <c r="Q1" s="483"/>
      <c r="R1" s="483"/>
      <c r="S1" s="483"/>
      <c r="T1" s="483"/>
      <c r="U1" s="483"/>
      <c r="V1" s="483"/>
      <c r="W1" s="483"/>
      <c r="X1" s="482" t="str">
        <f>Charakterbogen!X1</f>
        <v>Das Lied von 
Eis und Feuer</v>
      </c>
      <c r="Y1" s="80"/>
    </row>
    <row r="2" spans="1:25" ht="44.1" customHeight="1" thickTop="1" thickBot="1" x14ac:dyDescent="0.3">
      <c r="A2" s="80"/>
      <c r="C2" s="67" t="str">
        <f>Charakterbogen!C2</f>
        <v>Name</v>
      </c>
      <c r="D2" s="502"/>
      <c r="E2" s="502"/>
      <c r="F2" s="502"/>
      <c r="G2" s="502"/>
      <c r="H2" s="502"/>
      <c r="I2" s="502"/>
      <c r="J2" s="502"/>
      <c r="K2" s="502"/>
      <c r="L2" s="502"/>
      <c r="M2" s="502"/>
      <c r="N2" s="502"/>
      <c r="O2" s="502"/>
      <c r="P2" s="502"/>
      <c r="Q2" s="502"/>
      <c r="R2" s="502"/>
      <c r="S2" s="502"/>
      <c r="T2" s="502"/>
      <c r="U2" s="502"/>
      <c r="V2" s="502"/>
      <c r="W2" s="502"/>
      <c r="X2" s="482"/>
      <c r="Y2" s="80"/>
    </row>
    <row r="3" spans="1:25" ht="44.1" customHeight="1" thickTop="1" thickBot="1" x14ac:dyDescent="0.3">
      <c r="A3" s="80"/>
      <c r="C3" s="67" t="str">
        <f>Charakterbogen!C3</f>
        <v>Alter</v>
      </c>
      <c r="D3" s="502"/>
      <c r="E3" s="502"/>
      <c r="F3" s="411" t="str">
        <f>Charakterbogen!F3</f>
        <v>Geschlecht</v>
      </c>
      <c r="G3" s="411">
        <f>Charakterbogen!G3</f>
        <v>0</v>
      </c>
      <c r="H3" s="411">
        <f>Charakterbogen!H3</f>
        <v>0</v>
      </c>
      <c r="I3" s="411">
        <f>Charakterbogen!I3</f>
        <v>0</v>
      </c>
      <c r="J3" s="502"/>
      <c r="K3" s="502"/>
      <c r="L3" s="502"/>
      <c r="M3" s="72"/>
      <c r="N3" s="86" t="str">
        <f>Charakterbogen!N3</f>
        <v>Haus</v>
      </c>
      <c r="O3" s="530"/>
      <c r="P3" s="530"/>
      <c r="Q3" s="530"/>
      <c r="R3" s="530"/>
      <c r="S3" s="530"/>
      <c r="T3" s="530"/>
      <c r="U3" s="530"/>
      <c r="V3" s="530"/>
      <c r="W3" s="531"/>
      <c r="X3" s="87" t="str">
        <f>Charakterbogen!X3</f>
        <v>======== Das ========
Game-of-Thrones-
Rollenspiel</v>
      </c>
      <c r="Y3" s="80"/>
    </row>
    <row r="4" spans="1:25" ht="44.1" customHeight="1" thickTop="1" thickBot="1" x14ac:dyDescent="0.3">
      <c r="A4" s="80"/>
      <c r="C4" s="411" t="str">
        <f>Charakterbogen!C4</f>
        <v>Fähigkeiten</v>
      </c>
      <c r="D4" s="411">
        <f>Charakterbogen!D4</f>
        <v>0</v>
      </c>
      <c r="E4" s="411">
        <f>Charakterbogen!E4</f>
        <v>0</v>
      </c>
      <c r="F4" s="411">
        <f>Charakterbogen!F4</f>
        <v>0</v>
      </c>
      <c r="G4" s="411">
        <f>Charakterbogen!G4</f>
        <v>0</v>
      </c>
      <c r="H4" s="411">
        <f>Charakterbogen!H4</f>
        <v>0</v>
      </c>
      <c r="I4" s="411">
        <f>Charakterbogen!I4</f>
        <v>0</v>
      </c>
      <c r="J4" s="411">
        <f>Charakterbogen!J4</f>
        <v>0</v>
      </c>
      <c r="K4" s="411">
        <f>Charakterbogen!K4</f>
        <v>0</v>
      </c>
      <c r="L4" s="411">
        <f>Charakterbogen!L4</f>
        <v>0</v>
      </c>
      <c r="M4" s="411">
        <f>Charakterbogen!M4</f>
        <v>0</v>
      </c>
      <c r="N4" s="411">
        <f>Charakterbogen!N4</f>
        <v>0</v>
      </c>
      <c r="O4" s="411">
        <f>Charakterbogen!O4</f>
        <v>0</v>
      </c>
      <c r="P4" s="411">
        <f>Charakterbogen!P4</f>
        <v>0</v>
      </c>
      <c r="Q4" s="411">
        <f>Charakterbogen!Q4</f>
        <v>0</v>
      </c>
      <c r="R4" s="411">
        <f>Charakterbogen!R4</f>
        <v>0</v>
      </c>
      <c r="S4" s="411">
        <f>Charakterbogen!S4</f>
        <v>0</v>
      </c>
      <c r="T4" s="411">
        <f>Charakterbogen!T4</f>
        <v>0</v>
      </c>
      <c r="U4" s="411">
        <f>Charakterbogen!U4</f>
        <v>0</v>
      </c>
      <c r="V4" s="411">
        <f>Charakterbogen!V4</f>
        <v>0</v>
      </c>
      <c r="W4" s="411">
        <f>Charakterbogen!W4</f>
        <v>0</v>
      </c>
      <c r="X4" s="411">
        <f>Charakterbogen!X4</f>
        <v>0</v>
      </c>
      <c r="Y4" s="80"/>
    </row>
    <row r="5" spans="1:25" ht="44.1" customHeight="1" thickTop="1" thickBot="1" x14ac:dyDescent="0.3">
      <c r="A5" s="80"/>
      <c r="C5" s="67" t="str">
        <f>Charakterbogen!C5</f>
        <v>Wert</v>
      </c>
      <c r="D5" s="67" t="str">
        <f>Charakterbogen!D5</f>
        <v>Fähigkeit</v>
      </c>
      <c r="E5" s="411" t="str">
        <f>Charakterbogen!E5</f>
        <v>Spezialisierungen</v>
      </c>
      <c r="F5" s="411">
        <f>Charakterbogen!F5</f>
        <v>0</v>
      </c>
      <c r="G5" s="411">
        <f>Charakterbogen!G5</f>
        <v>0</v>
      </c>
      <c r="H5" s="411">
        <f>Charakterbogen!H5</f>
        <v>0</v>
      </c>
      <c r="I5" s="411">
        <f>Charakterbogen!I5</f>
        <v>0</v>
      </c>
      <c r="J5" s="411">
        <f>Charakterbogen!J5</f>
        <v>0</v>
      </c>
      <c r="K5" s="411">
        <f>Charakterbogen!K5</f>
        <v>0</v>
      </c>
      <c r="L5" s="411">
        <f>Charakterbogen!L5</f>
        <v>0</v>
      </c>
      <c r="M5" s="72"/>
      <c r="N5" s="67" t="str">
        <f>Charakterbogen!N5</f>
        <v>Wert</v>
      </c>
      <c r="O5" s="458" t="str">
        <f>Charakterbogen!O5</f>
        <v>Fähigkeit</v>
      </c>
      <c r="P5" s="476">
        <f>Charakterbogen!P5</f>
        <v>0</v>
      </c>
      <c r="Q5" s="476">
        <f>Charakterbogen!Q5</f>
        <v>0</v>
      </c>
      <c r="R5" s="476">
        <f>Charakterbogen!R5</f>
        <v>0</v>
      </c>
      <c r="S5" s="476">
        <f>Charakterbogen!S5</f>
        <v>0</v>
      </c>
      <c r="T5" s="476">
        <f>Charakterbogen!T5</f>
        <v>0</v>
      </c>
      <c r="U5" s="476">
        <f>Charakterbogen!U5</f>
        <v>0</v>
      </c>
      <c r="V5" s="477">
        <f>Charakterbogen!V5</f>
        <v>0</v>
      </c>
      <c r="W5" s="411" t="str">
        <f>Charakterbogen!W5</f>
        <v>Spezialisierungen</v>
      </c>
      <c r="X5" s="411">
        <f>Charakterbogen!X5</f>
        <v>0</v>
      </c>
      <c r="Y5" s="80"/>
    </row>
    <row r="6" spans="1:25" ht="44.1" customHeight="1" thickTop="1" thickBot="1" x14ac:dyDescent="0.3">
      <c r="A6" s="80"/>
      <c r="B6" s="71">
        <v>1</v>
      </c>
      <c r="C6" s="89"/>
      <c r="D6" s="69" t="str">
        <f>Charakterbogen!D6</f>
        <v>Athletik</v>
      </c>
      <c r="E6" s="523"/>
      <c r="F6" s="523"/>
      <c r="G6" s="523"/>
      <c r="H6" s="523"/>
      <c r="I6" s="523"/>
      <c r="J6" s="523"/>
      <c r="K6" s="523"/>
      <c r="L6" s="523"/>
      <c r="M6" s="88">
        <f>+B15+1</f>
        <v>11</v>
      </c>
      <c r="N6" s="89"/>
      <c r="O6" s="467" t="str">
        <f>Charakterbogen!O6</f>
        <v>Status</v>
      </c>
      <c r="P6" s="468">
        <f>Charakterbogen!P6</f>
        <v>0</v>
      </c>
      <c r="Q6" s="468">
        <f>Charakterbogen!Q6</f>
        <v>0</v>
      </c>
      <c r="R6" s="468">
        <f>Charakterbogen!R6</f>
        <v>0</v>
      </c>
      <c r="S6" s="468">
        <f>Charakterbogen!S6</f>
        <v>0</v>
      </c>
      <c r="T6" s="468">
        <f>Charakterbogen!T6</f>
        <v>0</v>
      </c>
      <c r="U6" s="468">
        <f>Charakterbogen!U6</f>
        <v>0</v>
      </c>
      <c r="V6" s="469">
        <f>Charakterbogen!V6</f>
        <v>0</v>
      </c>
      <c r="W6" s="502"/>
      <c r="X6" s="502"/>
      <c r="Y6" s="80"/>
    </row>
    <row r="7" spans="1:25" ht="44.1" customHeight="1" thickTop="1" thickBot="1" x14ac:dyDescent="0.3">
      <c r="A7" s="80"/>
      <c r="B7" s="71">
        <f>+B6+1</f>
        <v>2</v>
      </c>
      <c r="C7" s="89"/>
      <c r="D7" s="69" t="str">
        <f>Charakterbogen!D7</f>
        <v>Ausdauer</v>
      </c>
      <c r="E7" s="523"/>
      <c r="F7" s="523"/>
      <c r="G7" s="523"/>
      <c r="H7" s="523"/>
      <c r="I7" s="523"/>
      <c r="J7" s="523"/>
      <c r="K7" s="523"/>
      <c r="L7" s="523"/>
      <c r="M7" s="88">
        <f>+M6+1</f>
        <v>12</v>
      </c>
      <c r="N7" s="89"/>
      <c r="O7" s="467" t="str">
        <f>Charakterbogen!O7</f>
        <v>Täuschung</v>
      </c>
      <c r="P7" s="468">
        <f>Charakterbogen!P7</f>
        <v>0</v>
      </c>
      <c r="Q7" s="468">
        <f>Charakterbogen!Q7</f>
        <v>0</v>
      </c>
      <c r="R7" s="468">
        <f>Charakterbogen!R7</f>
        <v>0</v>
      </c>
      <c r="S7" s="468">
        <f>Charakterbogen!S7</f>
        <v>0</v>
      </c>
      <c r="T7" s="468">
        <f>Charakterbogen!T7</f>
        <v>0</v>
      </c>
      <c r="U7" s="468">
        <f>Charakterbogen!U7</f>
        <v>0</v>
      </c>
      <c r="V7" s="469">
        <f>Charakterbogen!V7</f>
        <v>0</v>
      </c>
      <c r="W7" s="502"/>
      <c r="X7" s="502"/>
      <c r="Y7" s="80"/>
    </row>
    <row r="8" spans="1:25" ht="44.1" customHeight="1" thickTop="1" thickBot="1" x14ac:dyDescent="0.3">
      <c r="A8" s="80"/>
      <c r="B8" s="71">
        <f t="shared" ref="B8:B15" si="0">+B7+1</f>
        <v>3</v>
      </c>
      <c r="C8" s="89"/>
      <c r="D8" s="69" t="str">
        <f>Charakterbogen!D8</f>
        <v>Diebeskunst</v>
      </c>
      <c r="E8" s="523"/>
      <c r="F8" s="523"/>
      <c r="G8" s="523"/>
      <c r="H8" s="523"/>
      <c r="I8" s="523"/>
      <c r="J8" s="523"/>
      <c r="K8" s="523"/>
      <c r="L8" s="523"/>
      <c r="M8" s="88">
        <f t="shared" ref="M8:M14" si="1">+M7+1</f>
        <v>13</v>
      </c>
      <c r="N8" s="89"/>
      <c r="O8" s="467" t="str">
        <f>Charakterbogen!O8</f>
        <v>Überleben</v>
      </c>
      <c r="P8" s="468">
        <f>Charakterbogen!P8</f>
        <v>0</v>
      </c>
      <c r="Q8" s="468">
        <f>Charakterbogen!Q8</f>
        <v>0</v>
      </c>
      <c r="R8" s="468">
        <f>Charakterbogen!R8</f>
        <v>0</v>
      </c>
      <c r="S8" s="468">
        <f>Charakterbogen!S8</f>
        <v>0</v>
      </c>
      <c r="T8" s="468">
        <f>Charakterbogen!T8</f>
        <v>0</v>
      </c>
      <c r="U8" s="468">
        <f>Charakterbogen!U8</f>
        <v>0</v>
      </c>
      <c r="V8" s="469">
        <f>Charakterbogen!V8</f>
        <v>0</v>
      </c>
      <c r="W8" s="502"/>
      <c r="X8" s="502"/>
      <c r="Y8" s="80"/>
    </row>
    <row r="9" spans="1:25" ht="44.1" customHeight="1" thickTop="1" thickBot="1" x14ac:dyDescent="0.3">
      <c r="A9" s="80"/>
      <c r="B9" s="71">
        <f t="shared" si="0"/>
        <v>4</v>
      </c>
      <c r="C9" s="89"/>
      <c r="D9" s="69" t="str">
        <f>Charakterbogen!D9</f>
        <v>Gewandtheit</v>
      </c>
      <c r="E9" s="523"/>
      <c r="F9" s="523"/>
      <c r="G9" s="523"/>
      <c r="H9" s="523"/>
      <c r="I9" s="523"/>
      <c r="J9" s="523"/>
      <c r="K9" s="523"/>
      <c r="L9" s="523"/>
      <c r="M9" s="88">
        <f t="shared" si="1"/>
        <v>14</v>
      </c>
      <c r="N9" s="89"/>
      <c r="O9" s="467" t="str">
        <f>Charakterbogen!O9</f>
        <v>Überredung</v>
      </c>
      <c r="P9" s="468">
        <f>Charakterbogen!P9</f>
        <v>0</v>
      </c>
      <c r="Q9" s="468">
        <f>Charakterbogen!Q9</f>
        <v>0</v>
      </c>
      <c r="R9" s="468">
        <f>Charakterbogen!R9</f>
        <v>0</v>
      </c>
      <c r="S9" s="468">
        <f>Charakterbogen!S9</f>
        <v>0</v>
      </c>
      <c r="T9" s="468">
        <f>Charakterbogen!T9</f>
        <v>0</v>
      </c>
      <c r="U9" s="468">
        <f>Charakterbogen!U9</f>
        <v>0</v>
      </c>
      <c r="V9" s="469">
        <f>Charakterbogen!V9</f>
        <v>0</v>
      </c>
      <c r="W9" s="502"/>
      <c r="X9" s="502"/>
      <c r="Y9" s="80"/>
    </row>
    <row r="10" spans="1:25" ht="44.1" customHeight="1" thickTop="1" thickBot="1" x14ac:dyDescent="0.3">
      <c r="A10" s="80"/>
      <c r="B10" s="71">
        <f t="shared" si="0"/>
        <v>5</v>
      </c>
      <c r="C10" s="89"/>
      <c r="D10" s="69" t="str">
        <f>Charakterbogen!D10</f>
        <v>Heilkunst</v>
      </c>
      <c r="E10" s="523"/>
      <c r="F10" s="523"/>
      <c r="G10" s="523"/>
      <c r="H10" s="523"/>
      <c r="I10" s="523"/>
      <c r="J10" s="523"/>
      <c r="K10" s="523"/>
      <c r="L10" s="523"/>
      <c r="M10" s="88">
        <f t="shared" si="1"/>
        <v>15</v>
      </c>
      <c r="N10" s="89"/>
      <c r="O10" s="467" t="str">
        <f>Charakterbogen!O10</f>
        <v>Umgang mit Tieren</v>
      </c>
      <c r="P10" s="468">
        <f>Charakterbogen!P10</f>
        <v>0</v>
      </c>
      <c r="Q10" s="468">
        <f>Charakterbogen!Q10</f>
        <v>0</v>
      </c>
      <c r="R10" s="468">
        <f>Charakterbogen!R10</f>
        <v>0</v>
      </c>
      <c r="S10" s="468">
        <f>Charakterbogen!S10</f>
        <v>0</v>
      </c>
      <c r="T10" s="468">
        <f>Charakterbogen!T10</f>
        <v>0</v>
      </c>
      <c r="U10" s="468">
        <f>Charakterbogen!U10</f>
        <v>0</v>
      </c>
      <c r="V10" s="469">
        <f>Charakterbogen!V10</f>
        <v>0</v>
      </c>
      <c r="W10" s="502"/>
      <c r="X10" s="502"/>
      <c r="Y10" s="80"/>
    </row>
    <row r="11" spans="1:25" ht="44.1" customHeight="1" thickTop="1" thickBot="1" x14ac:dyDescent="0.3">
      <c r="A11" s="80"/>
      <c r="B11" s="71">
        <f t="shared" si="0"/>
        <v>6</v>
      </c>
      <c r="C11" s="89"/>
      <c r="D11" s="69" t="str">
        <f>Charakterbogen!D11</f>
        <v>Kampf</v>
      </c>
      <c r="E11" s="523"/>
      <c r="F11" s="523"/>
      <c r="G11" s="523"/>
      <c r="H11" s="523"/>
      <c r="I11" s="523"/>
      <c r="J11" s="523"/>
      <c r="K11" s="523"/>
      <c r="L11" s="523"/>
      <c r="M11" s="88">
        <f t="shared" si="1"/>
        <v>16</v>
      </c>
      <c r="N11" s="89"/>
      <c r="O11" s="467" t="str">
        <f>Charakterbogen!O11</f>
        <v>Verstohlen-heit</v>
      </c>
      <c r="P11" s="468">
        <f>Charakterbogen!P11</f>
        <v>0</v>
      </c>
      <c r="Q11" s="468">
        <f>Charakterbogen!Q11</f>
        <v>0</v>
      </c>
      <c r="R11" s="468">
        <f>Charakterbogen!R11</f>
        <v>0</v>
      </c>
      <c r="S11" s="468">
        <f>Charakterbogen!S11</f>
        <v>0</v>
      </c>
      <c r="T11" s="468">
        <f>Charakterbogen!T11</f>
        <v>0</v>
      </c>
      <c r="U11" s="468">
        <f>Charakterbogen!U11</f>
        <v>0</v>
      </c>
      <c r="V11" s="469">
        <f>Charakterbogen!V11</f>
        <v>0</v>
      </c>
      <c r="W11" s="502"/>
      <c r="X11" s="502"/>
      <c r="Y11" s="80"/>
    </row>
    <row r="12" spans="1:25" ht="44.1" customHeight="1" thickTop="1" thickBot="1" x14ac:dyDescent="0.3">
      <c r="A12" s="80"/>
      <c r="B12" s="71">
        <f t="shared" si="0"/>
        <v>7</v>
      </c>
      <c r="C12" s="89"/>
      <c r="D12" s="69" t="str">
        <f>Charakterbogen!D12</f>
        <v>Kriegs-führung</v>
      </c>
      <c r="E12" s="523"/>
      <c r="F12" s="523"/>
      <c r="G12" s="523"/>
      <c r="H12" s="523"/>
      <c r="I12" s="523"/>
      <c r="J12" s="523"/>
      <c r="K12" s="523"/>
      <c r="L12" s="523"/>
      <c r="M12" s="88">
        <f t="shared" si="1"/>
        <v>17</v>
      </c>
      <c r="N12" s="89"/>
      <c r="O12" s="467" t="str">
        <f>Charakterbogen!O12</f>
        <v>Wahr-nehmung</v>
      </c>
      <c r="P12" s="468">
        <f>Charakterbogen!P12</f>
        <v>0</v>
      </c>
      <c r="Q12" s="468">
        <f>Charakterbogen!Q12</f>
        <v>0</v>
      </c>
      <c r="R12" s="468">
        <f>Charakterbogen!R12</f>
        <v>0</v>
      </c>
      <c r="S12" s="468">
        <f>Charakterbogen!S12</f>
        <v>0</v>
      </c>
      <c r="T12" s="468">
        <f>Charakterbogen!T12</f>
        <v>0</v>
      </c>
      <c r="U12" s="468">
        <f>Charakterbogen!U12</f>
        <v>0</v>
      </c>
      <c r="V12" s="469">
        <f>Charakterbogen!V12</f>
        <v>0</v>
      </c>
      <c r="W12" s="502"/>
      <c r="X12" s="502"/>
      <c r="Y12" s="80"/>
    </row>
    <row r="13" spans="1:25" ht="44.1" customHeight="1" thickTop="1" thickBot="1" x14ac:dyDescent="0.3">
      <c r="A13" s="80"/>
      <c r="B13" s="71">
        <f t="shared" si="0"/>
        <v>8</v>
      </c>
      <c r="C13" s="89"/>
      <c r="D13" s="69" t="str">
        <f>Charakterbogen!D13</f>
        <v>Scharfsinn</v>
      </c>
      <c r="E13" s="523"/>
      <c r="F13" s="523"/>
      <c r="G13" s="523"/>
      <c r="H13" s="523"/>
      <c r="I13" s="523"/>
      <c r="J13" s="523"/>
      <c r="K13" s="523"/>
      <c r="L13" s="523"/>
      <c r="M13" s="88">
        <f t="shared" si="1"/>
        <v>18</v>
      </c>
      <c r="N13" s="89"/>
      <c r="O13" s="467" t="str">
        <f>Charakterbogen!O13</f>
        <v>Wille</v>
      </c>
      <c r="P13" s="468">
        <f>Charakterbogen!P13</f>
        <v>0</v>
      </c>
      <c r="Q13" s="468">
        <f>Charakterbogen!Q13</f>
        <v>0</v>
      </c>
      <c r="R13" s="468">
        <f>Charakterbogen!R13</f>
        <v>0</v>
      </c>
      <c r="S13" s="468">
        <f>Charakterbogen!S13</f>
        <v>0</v>
      </c>
      <c r="T13" s="468">
        <f>Charakterbogen!T13</f>
        <v>0</v>
      </c>
      <c r="U13" s="468">
        <f>Charakterbogen!U13</f>
        <v>0</v>
      </c>
      <c r="V13" s="469">
        <f>Charakterbogen!V13</f>
        <v>0</v>
      </c>
      <c r="W13" s="502"/>
      <c r="X13" s="502"/>
      <c r="Y13" s="80"/>
    </row>
    <row r="14" spans="1:25" ht="44.1" customHeight="1" thickTop="1" thickBot="1" x14ac:dyDescent="0.3">
      <c r="A14" s="80"/>
      <c r="B14" s="71">
        <f t="shared" si="0"/>
        <v>9</v>
      </c>
      <c r="C14" s="89"/>
      <c r="D14" s="69" t="str">
        <f>Charakterbogen!D14</f>
        <v>Schiess-kunst</v>
      </c>
      <c r="E14" s="523"/>
      <c r="F14" s="523"/>
      <c r="G14" s="523"/>
      <c r="H14" s="523"/>
      <c r="I14" s="523"/>
      <c r="J14" s="523"/>
      <c r="K14" s="523"/>
      <c r="L14" s="523"/>
      <c r="M14" s="88">
        <f t="shared" si="1"/>
        <v>19</v>
      </c>
      <c r="N14" s="89"/>
      <c r="O14" s="467" t="str">
        <f>Charakterbogen!O14</f>
        <v>Wissen</v>
      </c>
      <c r="P14" s="468">
        <f>Charakterbogen!P14</f>
        <v>0</v>
      </c>
      <c r="Q14" s="468">
        <f>Charakterbogen!Q14</f>
        <v>0</v>
      </c>
      <c r="R14" s="468">
        <f>Charakterbogen!R14</f>
        <v>0</v>
      </c>
      <c r="S14" s="468">
        <f>Charakterbogen!S14</f>
        <v>0</v>
      </c>
      <c r="T14" s="468">
        <f>Charakterbogen!T14</f>
        <v>0</v>
      </c>
      <c r="U14" s="468">
        <f>Charakterbogen!U14</f>
        <v>0</v>
      </c>
      <c r="V14" s="469">
        <f>Charakterbogen!V14</f>
        <v>0</v>
      </c>
      <c r="W14" s="502"/>
      <c r="X14" s="502"/>
      <c r="Y14" s="80"/>
    </row>
    <row r="15" spans="1:25" ht="44.1" customHeight="1" thickTop="1" thickBot="1" x14ac:dyDescent="0.3">
      <c r="A15" s="80"/>
      <c r="B15" s="71">
        <f t="shared" si="0"/>
        <v>10</v>
      </c>
      <c r="C15" s="89"/>
      <c r="D15" s="69" t="str">
        <f>Charakterbogen!D15</f>
        <v>Sprache</v>
      </c>
      <c r="E15" s="523"/>
      <c r="F15" s="523"/>
      <c r="G15" s="523"/>
      <c r="H15" s="523"/>
      <c r="I15" s="523"/>
      <c r="J15" s="523"/>
      <c r="K15" s="523"/>
      <c r="L15" s="523"/>
      <c r="M15" s="523"/>
      <c r="N15" s="523"/>
      <c r="O15" s="523"/>
      <c r="P15" s="523"/>
      <c r="Q15" s="523"/>
      <c r="R15" s="523"/>
      <c r="S15" s="523"/>
      <c r="T15" s="523"/>
      <c r="U15" s="523"/>
      <c r="V15" s="523"/>
      <c r="W15" s="523"/>
      <c r="X15" s="523"/>
      <c r="Y15" s="80"/>
    </row>
    <row r="16" spans="1:25" ht="44.1" customHeight="1" thickTop="1" thickBot="1" x14ac:dyDescent="0.3">
      <c r="A16" s="80"/>
      <c r="C16" s="454" t="str">
        <f>Charakterbogen!C16</f>
        <v>Eigenschaften</v>
      </c>
      <c r="D16" s="455">
        <f>Charakterbogen!D16</f>
        <v>0</v>
      </c>
      <c r="E16" s="455">
        <f>Charakterbogen!E16</f>
        <v>0</v>
      </c>
      <c r="F16" s="455">
        <f>Charakterbogen!F16</f>
        <v>0</v>
      </c>
      <c r="G16" s="455">
        <f>Charakterbogen!G16</f>
        <v>0</v>
      </c>
      <c r="H16" s="455">
        <f>Charakterbogen!H16</f>
        <v>0</v>
      </c>
      <c r="I16" s="455">
        <f>Charakterbogen!I16</f>
        <v>0</v>
      </c>
      <c r="J16" s="455">
        <f>Charakterbogen!J16</f>
        <v>0</v>
      </c>
      <c r="K16" s="455">
        <f>Charakterbogen!K16</f>
        <v>0</v>
      </c>
      <c r="L16" s="439">
        <f>Charakterbogen!L16</f>
        <v>0</v>
      </c>
      <c r="M16" s="74">
        <f>Charakterbogen!M16</f>
        <v>0</v>
      </c>
      <c r="N16" s="454" t="str">
        <f>Charakterbogen!N16</f>
        <v>Intrigen</v>
      </c>
      <c r="O16" s="455">
        <f>Charakterbogen!O16</f>
        <v>0</v>
      </c>
      <c r="P16" s="455">
        <f>Charakterbogen!P16</f>
        <v>0</v>
      </c>
      <c r="Q16" s="455">
        <f>Charakterbogen!Q16</f>
        <v>0</v>
      </c>
      <c r="R16" s="455">
        <f>Charakterbogen!R16</f>
        <v>0</v>
      </c>
      <c r="S16" s="455">
        <f>Charakterbogen!S16</f>
        <v>0</v>
      </c>
      <c r="T16" s="455">
        <f>Charakterbogen!T16</f>
        <v>0</v>
      </c>
      <c r="U16" s="455">
        <f>Charakterbogen!U16</f>
        <v>0</v>
      </c>
      <c r="V16" s="439">
        <f>Charakterbogen!V16</f>
        <v>0</v>
      </c>
      <c r="W16" s="414" t="str">
        <f>Charakterbogen!W16</f>
        <v>Kampf</v>
      </c>
      <c r="X16" s="414">
        <f>Charakterbogen!X16</f>
        <v>0</v>
      </c>
      <c r="Y16" s="80"/>
    </row>
    <row r="17" spans="1:25" ht="24" customHeight="1" thickTop="1" thickBot="1" x14ac:dyDescent="0.3">
      <c r="A17" s="80"/>
      <c r="C17" s="524"/>
      <c r="D17" s="524"/>
      <c r="E17" s="524"/>
      <c r="F17" s="524"/>
      <c r="G17" s="524"/>
      <c r="H17" s="524"/>
      <c r="I17" s="524"/>
      <c r="J17" s="524"/>
      <c r="K17" s="524"/>
      <c r="L17" s="524"/>
      <c r="M17" s="75"/>
      <c r="N17" s="456" t="str">
        <f>Charakterbogen!N17</f>
        <v>Intrigenverteidigung</v>
      </c>
      <c r="O17" s="456">
        <f>Charakterbogen!O17</f>
        <v>0</v>
      </c>
      <c r="P17" s="456">
        <f>Charakterbogen!P17</f>
        <v>0</v>
      </c>
      <c r="Q17" s="456">
        <f>Charakterbogen!Q17</f>
        <v>0</v>
      </c>
      <c r="R17" s="456">
        <f>Charakterbogen!R17</f>
        <v>0</v>
      </c>
      <c r="S17" s="456">
        <f>Charakterbogen!S17</f>
        <v>0</v>
      </c>
      <c r="T17" s="456">
        <f>Charakterbogen!T17</f>
        <v>0</v>
      </c>
      <c r="U17" s="456">
        <f>Charakterbogen!U17</f>
        <v>0</v>
      </c>
      <c r="V17" s="456">
        <f>Charakterbogen!V17</f>
        <v>0</v>
      </c>
      <c r="W17" s="456" t="str">
        <f>Charakterbogen!W17</f>
        <v>Kampfverteidigung</v>
      </c>
      <c r="X17" s="456">
        <f>Charakterbogen!X17</f>
        <v>0</v>
      </c>
      <c r="Y17" s="80"/>
    </row>
    <row r="18" spans="1:25" ht="50.1" customHeight="1" thickTop="1" thickBot="1" x14ac:dyDescent="0.3">
      <c r="A18" s="80"/>
      <c r="C18" s="524"/>
      <c r="D18" s="524"/>
      <c r="E18" s="524"/>
      <c r="F18" s="524"/>
      <c r="G18" s="524"/>
      <c r="H18" s="524"/>
      <c r="I18" s="524"/>
      <c r="J18" s="524"/>
      <c r="K18" s="524"/>
      <c r="L18" s="524"/>
      <c r="M18" s="75"/>
      <c r="N18" s="514"/>
      <c r="O18" s="514"/>
      <c r="P18" s="514"/>
      <c r="Q18" s="514"/>
      <c r="R18" s="514"/>
      <c r="S18" s="514"/>
      <c r="T18" s="514"/>
      <c r="U18" s="514"/>
      <c r="V18" s="514"/>
      <c r="W18" s="514"/>
      <c r="X18" s="514"/>
      <c r="Y18" s="80"/>
    </row>
    <row r="19" spans="1:25" ht="49.5" customHeight="1" thickTop="1" thickBot="1" x14ac:dyDescent="0.3">
      <c r="A19" s="80"/>
      <c r="C19" s="524"/>
      <c r="D19" s="524"/>
      <c r="E19" s="524"/>
      <c r="F19" s="524"/>
      <c r="G19" s="524"/>
      <c r="H19" s="524"/>
      <c r="I19" s="524"/>
      <c r="J19" s="524"/>
      <c r="K19" s="524"/>
      <c r="L19" s="524"/>
      <c r="M19" s="75"/>
      <c r="N19" s="481" t="str">
        <f>Charakterbogen!N19</f>
        <v>(Scharfsinn + Status + Wahrnehmung)</v>
      </c>
      <c r="O19" s="481">
        <f>Charakterbogen!O19</f>
        <v>0</v>
      </c>
      <c r="P19" s="481">
        <f>Charakterbogen!P19</f>
        <v>0</v>
      </c>
      <c r="Q19" s="481">
        <f>Charakterbogen!Q19</f>
        <v>0</v>
      </c>
      <c r="R19" s="481">
        <f>Charakterbogen!R19</f>
        <v>0</v>
      </c>
      <c r="S19" s="481">
        <f>Charakterbogen!S19</f>
        <v>0</v>
      </c>
      <c r="T19" s="481">
        <f>Charakterbogen!T19</f>
        <v>0</v>
      </c>
      <c r="U19" s="481">
        <f>Charakterbogen!U19</f>
        <v>0</v>
      </c>
      <c r="V19" s="481">
        <f>Charakterbogen!V19</f>
        <v>0</v>
      </c>
      <c r="W19" s="481" t="str">
        <f>Charakterbogen!W19</f>
        <v>(Athletik + Gewandheit + Wahrnehmung + Rüstungsabzug) 
+ Abwehrbonus</v>
      </c>
      <c r="X19" s="481">
        <f>Charakterbogen!X19</f>
        <v>0</v>
      </c>
      <c r="Y19" s="80"/>
    </row>
    <row r="20" spans="1:25" ht="24" customHeight="1" thickTop="1" thickBot="1" x14ac:dyDescent="0.3">
      <c r="A20" s="80"/>
      <c r="C20" s="524"/>
      <c r="D20" s="524"/>
      <c r="E20" s="524"/>
      <c r="F20" s="524"/>
      <c r="G20" s="524"/>
      <c r="H20" s="524"/>
      <c r="I20" s="524"/>
      <c r="J20" s="524"/>
      <c r="K20" s="524"/>
      <c r="L20" s="524"/>
      <c r="M20" s="75"/>
      <c r="N20" s="456" t="str">
        <f>Charakterbogen!N20</f>
        <v>Gelassenheit</v>
      </c>
      <c r="O20" s="456">
        <f>Charakterbogen!O20</f>
        <v>0</v>
      </c>
      <c r="P20" s="456">
        <f>Charakterbogen!P20</f>
        <v>0</v>
      </c>
      <c r="Q20" s="456">
        <f>Charakterbogen!Q20</f>
        <v>0</v>
      </c>
      <c r="R20" s="456">
        <f>Charakterbogen!R20</f>
        <v>0</v>
      </c>
      <c r="S20" s="456">
        <f>Charakterbogen!S20</f>
        <v>0</v>
      </c>
      <c r="T20" s="456">
        <f>Charakterbogen!T20</f>
        <v>0</v>
      </c>
      <c r="U20" s="456">
        <f>Charakterbogen!U20</f>
        <v>0</v>
      </c>
      <c r="V20" s="456">
        <f>Charakterbogen!V20</f>
        <v>0</v>
      </c>
      <c r="W20" s="456" t="str">
        <f>Charakterbogen!W20</f>
        <v>Gesundheit</v>
      </c>
      <c r="X20" s="456">
        <f>Charakterbogen!X20</f>
        <v>0</v>
      </c>
      <c r="Y20" s="80"/>
    </row>
    <row r="21" spans="1:25" ht="11.25" customHeight="1" thickTop="1" thickBot="1" x14ac:dyDescent="0.3">
      <c r="A21" s="80"/>
      <c r="C21" s="524"/>
      <c r="D21" s="524"/>
      <c r="E21" s="525"/>
      <c r="F21" s="525"/>
      <c r="G21" s="525"/>
      <c r="H21" s="525"/>
      <c r="I21" s="525"/>
      <c r="J21" s="525"/>
      <c r="K21" s="525"/>
      <c r="L21" s="525"/>
      <c r="M21" s="76"/>
      <c r="N21" s="510"/>
      <c r="O21" s="519"/>
      <c r="P21" s="519"/>
      <c r="Q21" s="519"/>
      <c r="R21" s="519"/>
      <c r="S21" s="519"/>
      <c r="T21" s="519"/>
      <c r="U21" s="519"/>
      <c r="V21" s="511"/>
      <c r="W21" s="510"/>
      <c r="X21" s="511"/>
      <c r="Y21" s="80"/>
    </row>
    <row r="22" spans="1:25" ht="18" customHeight="1" thickTop="1" thickBot="1" x14ac:dyDescent="0.3">
      <c r="A22" s="80"/>
      <c r="C22" s="411" t="str">
        <f>Charakterbogen!C22</f>
        <v>Schicksalspunkte</v>
      </c>
      <c r="D22" s="458">
        <f>Charakterbogen!D22</f>
        <v>0</v>
      </c>
      <c r="E22" s="527"/>
      <c r="F22" s="528"/>
      <c r="G22" s="528"/>
      <c r="H22" s="528"/>
      <c r="I22" s="528"/>
      <c r="J22" s="528"/>
      <c r="K22" s="528"/>
      <c r="L22" s="529"/>
      <c r="M22" s="77"/>
      <c r="N22" s="520"/>
      <c r="O22" s="521"/>
      <c r="P22" s="521"/>
      <c r="Q22" s="521"/>
      <c r="R22" s="521"/>
      <c r="S22" s="521"/>
      <c r="T22" s="521"/>
      <c r="U22" s="521"/>
      <c r="V22" s="526"/>
      <c r="W22" s="520"/>
      <c r="X22" s="526"/>
      <c r="Y22" s="80"/>
    </row>
    <row r="23" spans="1:25" ht="23.1" customHeight="1" thickTop="1" thickBot="1" x14ac:dyDescent="0.3">
      <c r="A23" s="80"/>
      <c r="C23" s="411">
        <f>Charakterbogen!C23</f>
        <v>0</v>
      </c>
      <c r="D23" s="458">
        <f>Charakterbogen!D23</f>
        <v>0</v>
      </c>
      <c r="E23" s="90"/>
      <c r="F23" s="91"/>
      <c r="G23" s="91"/>
      <c r="H23" s="91"/>
      <c r="I23" s="91"/>
      <c r="J23" s="91"/>
      <c r="K23" s="91"/>
      <c r="L23" s="92"/>
      <c r="M23" s="79"/>
      <c r="N23" s="512"/>
      <c r="O23" s="522"/>
      <c r="P23" s="522"/>
      <c r="Q23" s="522"/>
      <c r="R23" s="522"/>
      <c r="S23" s="522"/>
      <c r="T23" s="522"/>
      <c r="U23" s="522"/>
      <c r="V23" s="513"/>
      <c r="W23" s="512"/>
      <c r="X23" s="513"/>
      <c r="Y23" s="80"/>
    </row>
    <row r="24" spans="1:25" ht="18" customHeight="1" thickTop="1" thickBot="1" x14ac:dyDescent="0.3">
      <c r="A24" s="80"/>
      <c r="C24" s="411">
        <f>Charakterbogen!C24</f>
        <v>0</v>
      </c>
      <c r="D24" s="458">
        <f>Charakterbogen!D24</f>
        <v>0</v>
      </c>
      <c r="E24" s="470"/>
      <c r="F24" s="471"/>
      <c r="G24" s="471"/>
      <c r="H24" s="471"/>
      <c r="I24" s="471"/>
      <c r="J24" s="471"/>
      <c r="K24" s="471"/>
      <c r="L24" s="472"/>
      <c r="M24" s="78"/>
      <c r="N24" s="478" t="str">
        <f>Charakterbogen!N24</f>
        <v>(Willensränge x 3)</v>
      </c>
      <c r="O24" s="478">
        <f>Charakterbogen!O24</f>
        <v>0</v>
      </c>
      <c r="P24" s="478">
        <f>Charakterbogen!P24</f>
        <v>0</v>
      </c>
      <c r="Q24" s="478">
        <f>Charakterbogen!Q24</f>
        <v>0</v>
      </c>
      <c r="R24" s="478">
        <f>Charakterbogen!R24</f>
        <v>0</v>
      </c>
      <c r="S24" s="478">
        <f>Charakterbogen!S24</f>
        <v>0</v>
      </c>
      <c r="T24" s="478">
        <f>Charakterbogen!T24</f>
        <v>0</v>
      </c>
      <c r="U24" s="478">
        <f>Charakterbogen!U24</f>
        <v>0</v>
      </c>
      <c r="V24" s="479">
        <f>Charakterbogen!V24</f>
        <v>0</v>
      </c>
      <c r="W24" s="479" t="str">
        <f>Charakterbogen!W24</f>
        <v>(Ausdauerränge x 3)</v>
      </c>
      <c r="X24" s="479">
        <f>Charakterbogen!X24</f>
        <v>0</v>
      </c>
      <c r="Y24" s="80"/>
    </row>
    <row r="25" spans="1:25" ht="44.1" customHeight="1" thickTop="1" thickBot="1" x14ac:dyDescent="0.3">
      <c r="A25" s="80"/>
      <c r="C25" s="411" t="str">
        <f>Charakterbogen!C25</f>
        <v>Waffen</v>
      </c>
      <c r="D25" s="411">
        <f>Charakterbogen!D25</f>
        <v>0</v>
      </c>
      <c r="E25" s="412">
        <f>Charakterbogen!E25</f>
        <v>0</v>
      </c>
      <c r="F25" s="412">
        <f>Charakterbogen!F25</f>
        <v>0</v>
      </c>
      <c r="G25" s="412">
        <f>Charakterbogen!G25</f>
        <v>0</v>
      </c>
      <c r="H25" s="412">
        <f>Charakterbogen!H25</f>
        <v>0</v>
      </c>
      <c r="I25" s="412">
        <f>Charakterbogen!I25</f>
        <v>0</v>
      </c>
      <c r="J25" s="412">
        <f>Charakterbogen!J25</f>
        <v>0</v>
      </c>
      <c r="K25" s="412">
        <f>Charakterbogen!K25</f>
        <v>0</v>
      </c>
      <c r="L25" s="412">
        <f>Charakterbogen!L25</f>
        <v>0</v>
      </c>
      <c r="M25" s="411">
        <f>Charakterbogen!M25</f>
        <v>0</v>
      </c>
      <c r="N25" s="411">
        <f>Charakterbogen!N25</f>
        <v>0</v>
      </c>
      <c r="O25" s="411">
        <f>Charakterbogen!O25</f>
        <v>0</v>
      </c>
      <c r="P25" s="411">
        <f>Charakterbogen!P25</f>
        <v>0</v>
      </c>
      <c r="Q25" s="411">
        <f>Charakterbogen!Q25</f>
        <v>0</v>
      </c>
      <c r="R25" s="411">
        <f>Charakterbogen!R25</f>
        <v>0</v>
      </c>
      <c r="S25" s="411">
        <f>Charakterbogen!S25</f>
        <v>0</v>
      </c>
      <c r="T25" s="411">
        <f>Charakterbogen!T25</f>
        <v>0</v>
      </c>
      <c r="U25" s="411">
        <f>Charakterbogen!U25</f>
        <v>0</v>
      </c>
      <c r="V25" s="411">
        <f>Charakterbogen!V25</f>
        <v>0</v>
      </c>
      <c r="W25" s="411" t="str">
        <f>Charakterbogen!W25</f>
        <v>Rüstung</v>
      </c>
      <c r="X25" s="411">
        <f>Charakterbogen!X25</f>
        <v>0</v>
      </c>
      <c r="Y25" s="80"/>
    </row>
    <row r="26" spans="1:25" ht="44.1" customHeight="1" thickTop="1" thickBot="1" x14ac:dyDescent="0.3">
      <c r="A26" s="80"/>
      <c r="C26" s="501" t="str">
        <f>Charakterbogen!C26</f>
        <v>Qualität</v>
      </c>
      <c r="D26" s="501" t="str">
        <f>Charakterbogen!D26</f>
        <v>Angriffswaffe</v>
      </c>
      <c r="E26" s="501">
        <f>Charakterbogen!E26</f>
        <v>0</v>
      </c>
      <c r="F26" s="501" t="str">
        <f>Charakterbogen!F26</f>
        <v>Probenwürfel</v>
      </c>
      <c r="G26" s="501">
        <f>Charakterbogen!G26</f>
        <v>0</v>
      </c>
      <c r="H26" s="501">
        <f>Charakterbogen!H26</f>
        <v>0</v>
      </c>
      <c r="I26" s="501">
        <f>Charakterbogen!I26</f>
        <v>0</v>
      </c>
      <c r="J26" s="501" t="str">
        <f>Charakterbogen!J26</f>
        <v>Waffenschaden / Eigenschaften
(Schaden = Grundschaden * Erfolgsgrad - Rüstungswert)</v>
      </c>
      <c r="K26" s="501">
        <f>Charakterbogen!K26</f>
        <v>0</v>
      </c>
      <c r="L26" s="501">
        <f>Charakterbogen!L26</f>
        <v>0</v>
      </c>
      <c r="M26" s="501">
        <f>Charakterbogen!M26</f>
        <v>0</v>
      </c>
      <c r="N26" s="501">
        <f>Charakterbogen!N26</f>
        <v>0</v>
      </c>
      <c r="O26" s="501">
        <f>Charakterbogen!O26</f>
        <v>0</v>
      </c>
      <c r="P26" s="501">
        <f>Charakterbogen!P26</f>
        <v>0</v>
      </c>
      <c r="Q26" s="501">
        <f>Charakterbogen!Q26</f>
        <v>0</v>
      </c>
      <c r="R26" s="501">
        <f>Charakterbogen!R26</f>
        <v>0</v>
      </c>
      <c r="S26" s="501">
        <f>Charakterbogen!S26</f>
        <v>0</v>
      </c>
      <c r="T26" s="501">
        <f>Charakterbogen!T26</f>
        <v>0</v>
      </c>
      <c r="U26" s="501">
        <f>Charakterbogen!U26</f>
        <v>0</v>
      </c>
      <c r="V26" s="501">
        <f>Charakterbogen!V26</f>
        <v>0</v>
      </c>
      <c r="W26" s="510"/>
      <c r="X26" s="519"/>
      <c r="Y26" s="80"/>
    </row>
    <row r="27" spans="1:25" ht="43.9" customHeight="1" thickTop="1" thickBot="1" x14ac:dyDescent="0.3">
      <c r="A27" s="80"/>
      <c r="C27" s="514"/>
      <c r="D27" s="514"/>
      <c r="E27" s="514"/>
      <c r="F27" s="514"/>
      <c r="G27" s="514"/>
      <c r="H27" s="514"/>
      <c r="I27" s="514"/>
      <c r="J27" s="514"/>
      <c r="K27" s="514"/>
      <c r="L27" s="514"/>
      <c r="M27" s="514"/>
      <c r="N27" s="514"/>
      <c r="O27" s="514"/>
      <c r="P27" s="514"/>
      <c r="Q27" s="514"/>
      <c r="R27" s="514"/>
      <c r="S27" s="514"/>
      <c r="T27" s="514"/>
      <c r="U27" s="514"/>
      <c r="V27" s="514"/>
      <c r="W27" s="520"/>
      <c r="X27" s="521"/>
      <c r="Y27" s="80"/>
    </row>
    <row r="28" spans="1:25" ht="43.9" customHeight="1" thickTop="1" thickBot="1" x14ac:dyDescent="0.3">
      <c r="A28" s="80"/>
      <c r="C28" s="514"/>
      <c r="D28" s="514"/>
      <c r="E28" s="514"/>
      <c r="F28" s="514"/>
      <c r="G28" s="514"/>
      <c r="H28" s="514"/>
      <c r="I28" s="514"/>
      <c r="J28" s="514"/>
      <c r="K28" s="514"/>
      <c r="L28" s="514"/>
      <c r="M28" s="514"/>
      <c r="N28" s="514"/>
      <c r="O28" s="514"/>
      <c r="P28" s="514"/>
      <c r="Q28" s="514"/>
      <c r="R28" s="514"/>
      <c r="S28" s="514"/>
      <c r="T28" s="514"/>
      <c r="U28" s="514"/>
      <c r="V28" s="514"/>
      <c r="W28" s="520"/>
      <c r="X28" s="521"/>
      <c r="Y28" s="80"/>
    </row>
    <row r="29" spans="1:25" ht="43.9" customHeight="1" thickTop="1" thickBot="1" x14ac:dyDescent="0.3">
      <c r="A29" s="80"/>
      <c r="C29" s="514"/>
      <c r="D29" s="514"/>
      <c r="E29" s="514"/>
      <c r="F29" s="514"/>
      <c r="G29" s="514"/>
      <c r="H29" s="514"/>
      <c r="I29" s="514"/>
      <c r="J29" s="514"/>
      <c r="K29" s="514"/>
      <c r="L29" s="514"/>
      <c r="M29" s="514"/>
      <c r="N29" s="514"/>
      <c r="O29" s="514"/>
      <c r="P29" s="514"/>
      <c r="Q29" s="514"/>
      <c r="R29" s="514"/>
      <c r="S29" s="514"/>
      <c r="T29" s="514"/>
      <c r="U29" s="514"/>
      <c r="V29" s="514"/>
      <c r="W29" s="512"/>
      <c r="X29" s="522"/>
      <c r="Y29" s="80"/>
    </row>
    <row r="30" spans="1:25" ht="43.9" customHeight="1" thickTop="1" thickBot="1" x14ac:dyDescent="0.3">
      <c r="A30" s="80"/>
      <c r="C30" s="514"/>
      <c r="D30" s="514"/>
      <c r="E30" s="514"/>
      <c r="F30" s="514"/>
      <c r="G30" s="514"/>
      <c r="H30" s="514"/>
      <c r="I30" s="514"/>
      <c r="J30" s="514"/>
      <c r="K30" s="514"/>
      <c r="L30" s="514"/>
      <c r="M30" s="514"/>
      <c r="N30" s="514"/>
      <c r="O30" s="514"/>
      <c r="P30" s="514"/>
      <c r="Q30" s="514"/>
      <c r="R30" s="514"/>
      <c r="S30" s="514"/>
      <c r="T30" s="514"/>
      <c r="U30" s="514"/>
      <c r="V30" s="514"/>
      <c r="W30" s="515" t="str">
        <f>Charakterbogen!W30</f>
        <v>Rüstungswert</v>
      </c>
      <c r="X30" s="515" t="str">
        <f>Charakterbogen!X30</f>
        <v>Rüstungsabzug</v>
      </c>
      <c r="Y30" s="80"/>
    </row>
    <row r="31" spans="1:25" ht="43.9" customHeight="1" thickTop="1" thickBot="1" x14ac:dyDescent="0.3">
      <c r="A31" s="80"/>
      <c r="C31" s="514"/>
      <c r="D31" s="514"/>
      <c r="E31" s="514"/>
      <c r="F31" s="516"/>
      <c r="G31" s="516"/>
      <c r="H31" s="516"/>
      <c r="I31" s="516"/>
      <c r="J31" s="516"/>
      <c r="K31" s="516"/>
      <c r="L31" s="516"/>
      <c r="M31" s="514"/>
      <c r="N31" s="514"/>
      <c r="O31" s="516"/>
      <c r="P31" s="516"/>
      <c r="Q31" s="516"/>
      <c r="R31" s="516"/>
      <c r="S31" s="516"/>
      <c r="T31" s="516"/>
      <c r="U31" s="516"/>
      <c r="V31" s="516"/>
      <c r="W31" s="517"/>
      <c r="X31" s="518"/>
      <c r="Y31" s="80"/>
    </row>
    <row r="32" spans="1:25" ht="26.25" customHeight="1" thickTop="1" x14ac:dyDescent="0.25">
      <c r="A32" s="80"/>
      <c r="C32" s="504" t="str">
        <f>Charakterbogen!C32</f>
        <v>Schaden</v>
      </c>
      <c r="D32" s="504">
        <f>Charakterbogen!D32</f>
        <v>0</v>
      </c>
      <c r="E32" s="504">
        <f>Charakterbogen!E32</f>
        <v>0</v>
      </c>
      <c r="F32" s="505"/>
      <c r="G32" s="506"/>
      <c r="H32" s="506"/>
      <c r="I32" s="506"/>
      <c r="J32" s="506"/>
      <c r="K32" s="506"/>
      <c r="L32" s="507"/>
      <c r="M32" s="77"/>
      <c r="N32" s="438" t="str">
        <f>Charakterbogen!N32</f>
        <v>Verletzungen</v>
      </c>
      <c r="O32" s="505"/>
      <c r="P32" s="506"/>
      <c r="Q32" s="506"/>
      <c r="R32" s="506"/>
      <c r="S32" s="506"/>
      <c r="T32" s="506"/>
      <c r="U32" s="506"/>
      <c r="V32" s="507"/>
      <c r="W32" s="508" t="str">
        <f>Charakterbogen!W32</f>
        <v>Last
(Waffe, Rüstung und Schild)</v>
      </c>
      <c r="X32" s="509" t="str">
        <f>Charakterbogen!X32</f>
        <v>Bewegung
(normal/sprint)</v>
      </c>
      <c r="Y32" s="80"/>
    </row>
    <row r="33" spans="1:25" ht="21.95" customHeight="1" thickBot="1" x14ac:dyDescent="0.3">
      <c r="A33" s="80"/>
      <c r="C33" s="422">
        <f>Charakterbogen!C33</f>
        <v>0</v>
      </c>
      <c r="D33" s="422">
        <f>Charakterbogen!D33</f>
        <v>0</v>
      </c>
      <c r="E33" s="422">
        <f>Charakterbogen!E33</f>
        <v>0</v>
      </c>
      <c r="F33" s="93"/>
      <c r="G33" s="94"/>
      <c r="H33" s="94"/>
      <c r="I33" s="94"/>
      <c r="J33" s="94"/>
      <c r="K33" s="94"/>
      <c r="L33" s="95"/>
      <c r="M33" s="79"/>
      <c r="N33" s="423">
        <f>Charakterbogen!N33</f>
        <v>0</v>
      </c>
      <c r="O33" s="434"/>
      <c r="P33" s="427"/>
      <c r="Q33" s="427"/>
      <c r="R33" s="427"/>
      <c r="S33" s="427"/>
      <c r="T33" s="427"/>
      <c r="U33" s="427"/>
      <c r="V33" s="435"/>
      <c r="W33" s="441">
        <f>Charakterbogen!W33</f>
        <v>0</v>
      </c>
      <c r="X33" s="443">
        <f>Charakterbogen!X33</f>
        <v>0</v>
      </c>
      <c r="Y33" s="80"/>
    </row>
    <row r="34" spans="1:25" ht="21.95" customHeight="1" thickTop="1" x14ac:dyDescent="0.25">
      <c r="A34" s="80"/>
      <c r="C34" s="422">
        <f>Charakterbogen!C34</f>
        <v>0</v>
      </c>
      <c r="D34" s="422">
        <f>Charakterbogen!D34</f>
        <v>0</v>
      </c>
      <c r="E34" s="422">
        <f>Charakterbogen!E34</f>
        <v>0</v>
      </c>
      <c r="F34" s="93"/>
      <c r="G34" s="94"/>
      <c r="H34" s="94"/>
      <c r="I34" s="94"/>
      <c r="J34" s="94"/>
      <c r="K34" s="94"/>
      <c r="L34" s="95"/>
      <c r="M34" s="79"/>
      <c r="N34" s="423">
        <f>Charakterbogen!N34</f>
        <v>0</v>
      </c>
      <c r="O34" s="448"/>
      <c r="P34" s="427"/>
      <c r="Q34" s="427"/>
      <c r="R34" s="427"/>
      <c r="S34" s="427"/>
      <c r="T34" s="427"/>
      <c r="U34" s="427"/>
      <c r="V34" s="450"/>
      <c r="W34" s="510"/>
      <c r="X34" s="511"/>
      <c r="Y34" s="80"/>
    </row>
    <row r="35" spans="1:25" ht="26.25" customHeight="1" thickBot="1" x14ac:dyDescent="0.3">
      <c r="A35" s="80"/>
      <c r="C35" s="422">
        <f>Charakterbogen!C35</f>
        <v>0</v>
      </c>
      <c r="D35" s="422">
        <f>Charakterbogen!D35</f>
        <v>0</v>
      </c>
      <c r="E35" s="422">
        <f>Charakterbogen!E35</f>
        <v>0</v>
      </c>
      <c r="F35" s="431"/>
      <c r="G35" s="432"/>
      <c r="H35" s="432"/>
      <c r="I35" s="432"/>
      <c r="J35" s="432"/>
      <c r="K35" s="432"/>
      <c r="L35" s="433"/>
      <c r="M35" s="78"/>
      <c r="N35" s="424">
        <f>Charakterbogen!N35</f>
        <v>0</v>
      </c>
      <c r="O35" s="449"/>
      <c r="P35" s="432"/>
      <c r="Q35" s="432"/>
      <c r="R35" s="432"/>
      <c r="S35" s="432"/>
      <c r="T35" s="432"/>
      <c r="U35" s="432"/>
      <c r="V35" s="451"/>
      <c r="W35" s="512"/>
      <c r="X35" s="513"/>
      <c r="Y35" s="80"/>
    </row>
    <row r="36" spans="1:25" ht="16.5" thickTop="1" x14ac:dyDescent="0.25">
      <c r="A36" s="80"/>
      <c r="C36" s="80" t="str">
        <f>"Das Lied von Eis und Feuer Charakterbogen"&amp;IF(Spielername&gt;0," für "&amp;Spielername,"")</f>
        <v>Das Lied von Eis und Feuer Charakterbogen</v>
      </c>
      <c r="D36" s="81"/>
      <c r="E36" s="81"/>
      <c r="F36" s="81"/>
      <c r="G36" s="81"/>
      <c r="H36" s="80"/>
      <c r="I36" s="80"/>
      <c r="J36" s="80"/>
      <c r="K36" s="80"/>
      <c r="L36" s="80"/>
      <c r="M36" s="82"/>
      <c r="N36" s="80"/>
      <c r="O36" s="80"/>
      <c r="P36" s="80"/>
      <c r="Q36" s="80"/>
      <c r="R36" s="80"/>
      <c r="S36" s="80"/>
      <c r="T36" s="80"/>
      <c r="U36" s="80"/>
      <c r="V36" s="81"/>
      <c r="W36" s="397" t="str">
        <f>'1. Allgemeines'!H3</f>
        <v>Version 24.8.17 © Jaegers.Net</v>
      </c>
      <c r="X36" s="397"/>
      <c r="Y36" s="80"/>
    </row>
    <row r="37" spans="1:25" ht="16.5" thickBot="1" x14ac:dyDescent="0.3">
      <c r="A37" s="80"/>
      <c r="C37" s="80"/>
      <c r="D37" s="81"/>
      <c r="E37" s="81"/>
      <c r="F37" s="81"/>
      <c r="G37" s="81"/>
      <c r="H37" s="80"/>
      <c r="I37" s="80"/>
      <c r="J37" s="80"/>
      <c r="K37" s="80"/>
      <c r="L37" s="80"/>
      <c r="M37" s="82"/>
      <c r="N37" s="80"/>
      <c r="O37" s="80"/>
      <c r="P37" s="80"/>
      <c r="Q37" s="80"/>
      <c r="R37" s="80"/>
      <c r="S37" s="80"/>
      <c r="T37" s="80"/>
      <c r="U37" s="80"/>
      <c r="V37" s="81"/>
      <c r="W37" s="80"/>
      <c r="X37" s="80"/>
      <c r="Y37" s="80"/>
    </row>
    <row r="38" spans="1:25" ht="39.75" customHeight="1" thickTop="1" thickBot="1" x14ac:dyDescent="0.3">
      <c r="A38" s="80"/>
      <c r="C38" s="411" t="str">
        <f>Charakterbogen!C38</f>
        <v>Wunden</v>
      </c>
      <c r="D38" s="411">
        <f>Charakterbogen!D38</f>
        <v>0</v>
      </c>
      <c r="E38" s="411">
        <f>Charakterbogen!E38</f>
        <v>0</v>
      </c>
      <c r="F38" s="411">
        <f>Charakterbogen!F38</f>
        <v>0</v>
      </c>
      <c r="G38" s="411">
        <f>Charakterbogen!G38</f>
        <v>0</v>
      </c>
      <c r="H38" s="411">
        <f>Charakterbogen!H38</f>
        <v>0</v>
      </c>
      <c r="I38" s="411">
        <f>Charakterbogen!I38</f>
        <v>0</v>
      </c>
      <c r="J38" s="411">
        <f>Charakterbogen!J38</f>
        <v>0</v>
      </c>
      <c r="K38" s="411">
        <f>Charakterbogen!K38</f>
        <v>0</v>
      </c>
      <c r="L38" s="411">
        <f>Charakterbogen!L38</f>
        <v>0</v>
      </c>
      <c r="M38" s="83">
        <f>Charakterbogen!M38</f>
        <v>0</v>
      </c>
      <c r="N38" s="411" t="str">
        <f>Charakterbogen!N38</f>
        <v>Erscheinungsbild</v>
      </c>
      <c r="O38" s="411">
        <f>Charakterbogen!O38</f>
        <v>0</v>
      </c>
      <c r="P38" s="411">
        <f>Charakterbogen!P38</f>
        <v>0</v>
      </c>
      <c r="Q38" s="411">
        <f>Charakterbogen!Q38</f>
        <v>0</v>
      </c>
      <c r="R38" s="411">
        <f>Charakterbogen!R38</f>
        <v>0</v>
      </c>
      <c r="S38" s="411">
        <f>Charakterbogen!S38</f>
        <v>0</v>
      </c>
      <c r="T38" s="411">
        <f>Charakterbogen!T38</f>
        <v>0</v>
      </c>
      <c r="U38" s="411">
        <f>Charakterbogen!U38</f>
        <v>0</v>
      </c>
      <c r="V38" s="411">
        <f>Charakterbogen!V38</f>
        <v>0</v>
      </c>
      <c r="W38" s="411">
        <f>Charakterbogen!W38</f>
        <v>0</v>
      </c>
      <c r="X38" s="411">
        <f>Charakterbogen!X38</f>
        <v>0</v>
      </c>
      <c r="Y38" s="80"/>
    </row>
    <row r="39" spans="1:25" ht="39.75" customHeight="1" thickTop="1" thickBot="1" x14ac:dyDescent="0.3">
      <c r="A39" s="80"/>
      <c r="C39" s="502"/>
      <c r="D39" s="502"/>
      <c r="E39" s="502"/>
      <c r="F39" s="502"/>
      <c r="G39" s="502"/>
      <c r="H39" s="502"/>
      <c r="I39" s="502"/>
      <c r="J39" s="502"/>
      <c r="K39" s="502"/>
      <c r="L39" s="502"/>
      <c r="M39" s="85"/>
      <c r="N39" s="84" t="str">
        <f>Charakterbogen!N39</f>
        <v>Größe</v>
      </c>
      <c r="O39" s="502"/>
      <c r="P39" s="502"/>
      <c r="Q39" s="502"/>
      <c r="R39" s="502"/>
      <c r="S39" s="502"/>
      <c r="T39" s="502"/>
      <c r="U39" s="502"/>
      <c r="V39" s="502"/>
      <c r="W39" s="84" t="str">
        <f>Charakterbogen!W39</f>
        <v>Gewicht</v>
      </c>
      <c r="X39" s="96"/>
      <c r="Y39" s="80"/>
    </row>
    <row r="40" spans="1:25" ht="39.75" customHeight="1" thickTop="1" thickBot="1" x14ac:dyDescent="0.3">
      <c r="A40" s="80"/>
      <c r="C40" s="502"/>
      <c r="D40" s="502"/>
      <c r="E40" s="502"/>
      <c r="F40" s="502"/>
      <c r="G40" s="502"/>
      <c r="H40" s="502"/>
      <c r="I40" s="502"/>
      <c r="J40" s="502"/>
      <c r="K40" s="502"/>
      <c r="L40" s="502"/>
      <c r="M40" s="85"/>
      <c r="N40" s="84" t="str">
        <f>Charakterbogen!N40</f>
        <v>Augenfarbe</v>
      </c>
      <c r="O40" s="502"/>
      <c r="P40" s="502"/>
      <c r="Q40" s="502"/>
      <c r="R40" s="502"/>
      <c r="S40" s="502"/>
      <c r="T40" s="502"/>
      <c r="U40" s="502"/>
      <c r="V40" s="502"/>
      <c r="W40" s="84" t="str">
        <f>Charakterbogen!W40</f>
        <v>Haarfarbe</v>
      </c>
      <c r="X40" s="96"/>
      <c r="Y40" s="80"/>
    </row>
    <row r="41" spans="1:25" ht="39.75" customHeight="1" thickTop="1" thickBot="1" x14ac:dyDescent="0.3">
      <c r="A41" s="80"/>
      <c r="C41" s="502"/>
      <c r="D41" s="502"/>
      <c r="E41" s="502"/>
      <c r="F41" s="502"/>
      <c r="G41" s="502"/>
      <c r="H41" s="502"/>
      <c r="I41" s="502"/>
      <c r="J41" s="502"/>
      <c r="K41" s="502"/>
      <c r="L41" s="502"/>
      <c r="M41" s="85"/>
      <c r="N41" s="411" t="str">
        <f>Charakterbogen!N41</f>
        <v>Eigenarten</v>
      </c>
      <c r="O41" s="411">
        <f>Charakterbogen!O41</f>
        <v>0</v>
      </c>
      <c r="P41" s="411">
        <f>Charakterbogen!P41</f>
        <v>0</v>
      </c>
      <c r="Q41" s="411">
        <f>Charakterbogen!Q41</f>
        <v>0</v>
      </c>
      <c r="R41" s="411">
        <f>Charakterbogen!R41</f>
        <v>0</v>
      </c>
      <c r="S41" s="411">
        <f>Charakterbogen!S41</f>
        <v>0</v>
      </c>
      <c r="T41" s="411">
        <f>Charakterbogen!T41</f>
        <v>0</v>
      </c>
      <c r="U41" s="411">
        <f>Charakterbogen!U41</f>
        <v>0</v>
      </c>
      <c r="V41" s="411">
        <f>Charakterbogen!V41</f>
        <v>0</v>
      </c>
      <c r="W41" s="411">
        <f>Charakterbogen!W41</f>
        <v>0</v>
      </c>
      <c r="X41" s="411">
        <f>Charakterbogen!X41</f>
        <v>0</v>
      </c>
      <c r="Y41" s="80"/>
    </row>
    <row r="42" spans="1:25" ht="32.1" customHeight="1" thickTop="1" thickBot="1" x14ac:dyDescent="0.3">
      <c r="A42" s="80"/>
      <c r="C42" s="502"/>
      <c r="D42" s="502"/>
      <c r="E42" s="502"/>
      <c r="F42" s="502"/>
      <c r="G42" s="502"/>
      <c r="H42" s="502"/>
      <c r="I42" s="502"/>
      <c r="J42" s="502"/>
      <c r="K42" s="502"/>
      <c r="L42" s="502"/>
      <c r="M42" s="85"/>
      <c r="N42" s="503"/>
      <c r="O42" s="503"/>
      <c r="P42" s="503"/>
      <c r="Q42" s="503"/>
      <c r="R42" s="503"/>
      <c r="S42" s="503"/>
      <c r="T42" s="503"/>
      <c r="U42" s="503"/>
      <c r="V42" s="503"/>
      <c r="W42" s="503"/>
      <c r="X42" s="503"/>
      <c r="Y42" s="80"/>
    </row>
    <row r="43" spans="1:25" ht="39.75" customHeight="1" thickTop="1" thickBot="1" x14ac:dyDescent="0.3">
      <c r="A43" s="80"/>
      <c r="C43" s="411" t="str">
        <f>Charakterbogen!C43</f>
        <v>Ausrüstung</v>
      </c>
      <c r="D43" s="411">
        <f>Charakterbogen!D43</f>
        <v>0</v>
      </c>
      <c r="E43" s="411">
        <f>Charakterbogen!E43</f>
        <v>0</v>
      </c>
      <c r="F43" s="411">
        <f>Charakterbogen!F43</f>
        <v>0</v>
      </c>
      <c r="G43" s="411">
        <f>Charakterbogen!G43</f>
        <v>0</v>
      </c>
      <c r="H43" s="411">
        <f>Charakterbogen!H43</f>
        <v>0</v>
      </c>
      <c r="I43" s="411">
        <f>Charakterbogen!I43</f>
        <v>0</v>
      </c>
      <c r="J43" s="411">
        <f>Charakterbogen!J43</f>
        <v>0</v>
      </c>
      <c r="K43" s="411">
        <f>Charakterbogen!K43</f>
        <v>0</v>
      </c>
      <c r="L43" s="411">
        <f>Charakterbogen!L43</f>
        <v>0</v>
      </c>
      <c r="M43" s="85"/>
      <c r="N43" s="503"/>
      <c r="O43" s="503"/>
      <c r="P43" s="503"/>
      <c r="Q43" s="503"/>
      <c r="R43" s="503"/>
      <c r="S43" s="503"/>
      <c r="T43" s="503"/>
      <c r="U43" s="503"/>
      <c r="V43" s="503"/>
      <c r="W43" s="503"/>
      <c r="X43" s="503"/>
      <c r="Y43" s="80"/>
    </row>
    <row r="44" spans="1:25" ht="32.1" customHeight="1" thickTop="1" thickBot="1" x14ac:dyDescent="0.3">
      <c r="A44" s="80"/>
      <c r="C44" s="503"/>
      <c r="D44" s="503"/>
      <c r="E44" s="503"/>
      <c r="F44" s="503"/>
      <c r="G44" s="503"/>
      <c r="H44" s="503"/>
      <c r="I44" s="503"/>
      <c r="J44" s="503"/>
      <c r="K44" s="503"/>
      <c r="L44" s="503"/>
      <c r="M44" s="85"/>
      <c r="N44" s="503"/>
      <c r="O44" s="503"/>
      <c r="P44" s="503"/>
      <c r="Q44" s="503"/>
      <c r="R44" s="503"/>
      <c r="S44" s="503"/>
      <c r="T44" s="503"/>
      <c r="U44" s="503"/>
      <c r="V44" s="503"/>
      <c r="W44" s="503"/>
      <c r="X44" s="503"/>
      <c r="Y44" s="80"/>
    </row>
    <row r="45" spans="1:25" ht="39.75" customHeight="1" thickTop="1" thickBot="1" x14ac:dyDescent="0.3">
      <c r="A45" s="80"/>
      <c r="C45" s="503"/>
      <c r="D45" s="503"/>
      <c r="E45" s="503"/>
      <c r="F45" s="503"/>
      <c r="G45" s="503"/>
      <c r="H45" s="503"/>
      <c r="I45" s="503"/>
      <c r="J45" s="503"/>
      <c r="K45" s="503"/>
      <c r="L45" s="503"/>
      <c r="M45" s="85"/>
      <c r="N45" s="411" t="str">
        <f>Charakterbogen!N45</f>
        <v>Besondere Merkmale</v>
      </c>
      <c r="O45" s="411">
        <f>Charakterbogen!O45</f>
        <v>0</v>
      </c>
      <c r="P45" s="411">
        <f>Charakterbogen!P45</f>
        <v>0</v>
      </c>
      <c r="Q45" s="411">
        <f>Charakterbogen!Q45</f>
        <v>0</v>
      </c>
      <c r="R45" s="411">
        <f>Charakterbogen!R45</f>
        <v>0</v>
      </c>
      <c r="S45" s="411">
        <f>Charakterbogen!S45</f>
        <v>0</v>
      </c>
      <c r="T45" s="411">
        <f>Charakterbogen!T45</f>
        <v>0</v>
      </c>
      <c r="U45" s="411">
        <f>Charakterbogen!U45</f>
        <v>0</v>
      </c>
      <c r="V45" s="411">
        <f>Charakterbogen!V45</f>
        <v>0</v>
      </c>
      <c r="W45" s="411">
        <f>Charakterbogen!W45</f>
        <v>0</v>
      </c>
      <c r="X45" s="411">
        <f>Charakterbogen!X45</f>
        <v>0</v>
      </c>
      <c r="Y45" s="80"/>
    </row>
    <row r="46" spans="1:25" ht="32.1" customHeight="1" thickTop="1" thickBot="1" x14ac:dyDescent="0.3">
      <c r="A46" s="80"/>
      <c r="C46" s="503"/>
      <c r="D46" s="503"/>
      <c r="E46" s="503"/>
      <c r="F46" s="503"/>
      <c r="G46" s="503"/>
      <c r="H46" s="503"/>
      <c r="I46" s="503"/>
      <c r="J46" s="503"/>
      <c r="K46" s="503"/>
      <c r="L46" s="503"/>
      <c r="M46" s="85"/>
      <c r="N46" s="503"/>
      <c r="O46" s="503"/>
      <c r="P46" s="503"/>
      <c r="Q46" s="503"/>
      <c r="R46" s="503"/>
      <c r="S46" s="503"/>
      <c r="T46" s="503"/>
      <c r="U46" s="503"/>
      <c r="V46" s="503"/>
      <c r="W46" s="503"/>
      <c r="X46" s="503"/>
      <c r="Y46" s="80"/>
    </row>
    <row r="47" spans="1:25" ht="32.1" customHeight="1" thickTop="1" thickBot="1" x14ac:dyDescent="0.3">
      <c r="A47" s="80"/>
      <c r="C47" s="503"/>
      <c r="D47" s="503"/>
      <c r="E47" s="503"/>
      <c r="F47" s="503"/>
      <c r="G47" s="503"/>
      <c r="H47" s="503"/>
      <c r="I47" s="503"/>
      <c r="J47" s="503"/>
      <c r="K47" s="503"/>
      <c r="L47" s="503"/>
      <c r="M47" s="85"/>
      <c r="N47" s="503"/>
      <c r="O47" s="503"/>
      <c r="P47" s="503"/>
      <c r="Q47" s="503"/>
      <c r="R47" s="503"/>
      <c r="S47" s="503"/>
      <c r="T47" s="503"/>
      <c r="U47" s="503"/>
      <c r="V47" s="503"/>
      <c r="W47" s="503"/>
      <c r="X47" s="503"/>
      <c r="Y47" s="80"/>
    </row>
    <row r="48" spans="1:25" ht="32.1" customHeight="1" thickTop="1" thickBot="1" x14ac:dyDescent="0.3">
      <c r="A48" s="80"/>
      <c r="C48" s="503"/>
      <c r="D48" s="503"/>
      <c r="E48" s="503"/>
      <c r="F48" s="503"/>
      <c r="G48" s="503"/>
      <c r="H48" s="503"/>
      <c r="I48" s="503"/>
      <c r="J48" s="503"/>
      <c r="K48" s="503"/>
      <c r="L48" s="503"/>
      <c r="M48" s="85"/>
      <c r="N48" s="503"/>
      <c r="O48" s="503"/>
      <c r="P48" s="503"/>
      <c r="Q48" s="503"/>
      <c r="R48" s="503"/>
      <c r="S48" s="503"/>
      <c r="T48" s="503"/>
      <c r="U48" s="503"/>
      <c r="V48" s="503"/>
      <c r="W48" s="503"/>
      <c r="X48" s="503"/>
      <c r="Y48" s="80"/>
    </row>
    <row r="49" spans="1:25" ht="39.75" customHeight="1" thickTop="1" thickBot="1" x14ac:dyDescent="0.3">
      <c r="A49" s="80"/>
      <c r="C49" s="503"/>
      <c r="D49" s="503"/>
      <c r="E49" s="503"/>
      <c r="F49" s="503"/>
      <c r="G49" s="503"/>
      <c r="H49" s="503"/>
      <c r="I49" s="503"/>
      <c r="J49" s="503"/>
      <c r="K49" s="503"/>
      <c r="L49" s="503"/>
      <c r="M49" s="85"/>
      <c r="N49" s="411" t="str">
        <f>Charakterbogen!N49</f>
        <v>Bedienstete</v>
      </c>
      <c r="O49" s="411">
        <f>Charakterbogen!O49</f>
        <v>0</v>
      </c>
      <c r="P49" s="411">
        <f>Charakterbogen!P49</f>
        <v>0</v>
      </c>
      <c r="Q49" s="411">
        <f>Charakterbogen!Q49</f>
        <v>0</v>
      </c>
      <c r="R49" s="411">
        <f>Charakterbogen!R49</f>
        <v>0</v>
      </c>
      <c r="S49" s="411">
        <f>Charakterbogen!S49</f>
        <v>0</v>
      </c>
      <c r="T49" s="411">
        <f>Charakterbogen!T49</f>
        <v>0</v>
      </c>
      <c r="U49" s="411">
        <f>Charakterbogen!U49</f>
        <v>0</v>
      </c>
      <c r="V49" s="411">
        <f>Charakterbogen!V49</f>
        <v>0</v>
      </c>
      <c r="W49" s="411">
        <f>Charakterbogen!W49</f>
        <v>0</v>
      </c>
      <c r="X49" s="411">
        <f>Charakterbogen!X49</f>
        <v>0</v>
      </c>
      <c r="Y49" s="80"/>
    </row>
    <row r="50" spans="1:25" ht="32.1" customHeight="1" thickTop="1" thickBot="1" x14ac:dyDescent="0.3">
      <c r="A50" s="80"/>
      <c r="C50" s="503"/>
      <c r="D50" s="503"/>
      <c r="E50" s="503"/>
      <c r="F50" s="503"/>
      <c r="G50" s="503"/>
      <c r="H50" s="503"/>
      <c r="I50" s="503"/>
      <c r="J50" s="503"/>
      <c r="K50" s="503"/>
      <c r="L50" s="503"/>
      <c r="M50" s="85"/>
      <c r="N50" s="503"/>
      <c r="O50" s="503"/>
      <c r="P50" s="503"/>
      <c r="Q50" s="503"/>
      <c r="R50" s="503"/>
      <c r="S50" s="503"/>
      <c r="T50" s="503"/>
      <c r="U50" s="503"/>
      <c r="V50" s="503"/>
      <c r="W50" s="503"/>
      <c r="X50" s="503"/>
      <c r="Y50" s="80"/>
    </row>
    <row r="51" spans="1:25" ht="32.1" customHeight="1" thickTop="1" thickBot="1" x14ac:dyDescent="0.3">
      <c r="A51" s="80"/>
      <c r="C51" s="503"/>
      <c r="D51" s="503"/>
      <c r="E51" s="503"/>
      <c r="F51" s="503"/>
      <c r="G51" s="503"/>
      <c r="H51" s="503"/>
      <c r="I51" s="503"/>
      <c r="J51" s="503"/>
      <c r="K51" s="503"/>
      <c r="L51" s="503"/>
      <c r="M51" s="85"/>
      <c r="N51" s="503"/>
      <c r="O51" s="503"/>
      <c r="P51" s="503"/>
      <c r="Q51" s="503"/>
      <c r="R51" s="503"/>
      <c r="S51" s="503"/>
      <c r="T51" s="503"/>
      <c r="U51" s="503"/>
      <c r="V51" s="503"/>
      <c r="W51" s="503"/>
      <c r="X51" s="503"/>
      <c r="Y51" s="80"/>
    </row>
    <row r="52" spans="1:25" ht="32.1" customHeight="1" thickTop="1" thickBot="1" x14ac:dyDescent="0.3">
      <c r="A52" s="80"/>
      <c r="C52" s="503"/>
      <c r="D52" s="503"/>
      <c r="E52" s="503"/>
      <c r="F52" s="503"/>
      <c r="G52" s="503"/>
      <c r="H52" s="503"/>
      <c r="I52" s="503"/>
      <c r="J52" s="503"/>
      <c r="K52" s="503"/>
      <c r="L52" s="503"/>
      <c r="M52" s="85"/>
      <c r="N52" s="503"/>
      <c r="O52" s="503"/>
      <c r="P52" s="503"/>
      <c r="Q52" s="503"/>
      <c r="R52" s="503"/>
      <c r="S52" s="503"/>
      <c r="T52" s="503"/>
      <c r="U52" s="503"/>
      <c r="V52" s="503"/>
      <c r="W52" s="503"/>
      <c r="X52" s="503"/>
      <c r="Y52" s="80"/>
    </row>
    <row r="53" spans="1:25" ht="32.1" customHeight="1" thickTop="1" thickBot="1" x14ac:dyDescent="0.3">
      <c r="A53" s="80"/>
      <c r="C53" s="503"/>
      <c r="D53" s="503"/>
      <c r="E53" s="503"/>
      <c r="F53" s="503"/>
      <c r="G53" s="503"/>
      <c r="H53" s="503"/>
      <c r="I53" s="503"/>
      <c r="J53" s="503"/>
      <c r="K53" s="503"/>
      <c r="L53" s="503"/>
      <c r="M53" s="85"/>
      <c r="N53" s="503"/>
      <c r="O53" s="503"/>
      <c r="P53" s="503"/>
      <c r="Q53" s="503"/>
      <c r="R53" s="503"/>
      <c r="S53" s="503"/>
      <c r="T53" s="503"/>
      <c r="U53" s="503"/>
      <c r="V53" s="503"/>
      <c r="W53" s="503"/>
      <c r="X53" s="503"/>
      <c r="Y53" s="80"/>
    </row>
    <row r="54" spans="1:25" ht="39.75" customHeight="1" thickTop="1" thickBot="1" x14ac:dyDescent="0.3">
      <c r="A54" s="80"/>
      <c r="C54" s="411" t="str">
        <f>Charakterbogen!C54</f>
        <v>Persönliche Geschichte</v>
      </c>
      <c r="D54" s="411">
        <f>Charakterbogen!D54</f>
        <v>0</v>
      </c>
      <c r="E54" s="411">
        <f>Charakterbogen!E54</f>
        <v>0</v>
      </c>
      <c r="F54" s="411">
        <f>Charakterbogen!F54</f>
        <v>0</v>
      </c>
      <c r="G54" s="411">
        <f>Charakterbogen!G54</f>
        <v>0</v>
      </c>
      <c r="H54" s="411">
        <f>Charakterbogen!H54</f>
        <v>0</v>
      </c>
      <c r="I54" s="411">
        <f>Charakterbogen!I54</f>
        <v>0</v>
      </c>
      <c r="J54" s="411">
        <f>Charakterbogen!J54</f>
        <v>0</v>
      </c>
      <c r="K54" s="411">
        <f>Charakterbogen!K54</f>
        <v>0</v>
      </c>
      <c r="L54" s="411">
        <f>Charakterbogen!L54</f>
        <v>0</v>
      </c>
      <c r="M54" s="411">
        <f>Charakterbogen!M54</f>
        <v>0</v>
      </c>
      <c r="N54" s="411">
        <f>Charakterbogen!N54</f>
        <v>0</v>
      </c>
      <c r="O54" s="411">
        <f>Charakterbogen!O54</f>
        <v>0</v>
      </c>
      <c r="P54" s="411">
        <f>Charakterbogen!P54</f>
        <v>0</v>
      </c>
      <c r="Q54" s="411">
        <f>Charakterbogen!Q54</f>
        <v>0</v>
      </c>
      <c r="R54" s="411">
        <f>Charakterbogen!R54</f>
        <v>0</v>
      </c>
      <c r="S54" s="411">
        <f>Charakterbogen!S54</f>
        <v>0</v>
      </c>
      <c r="T54" s="411">
        <f>Charakterbogen!T54</f>
        <v>0</v>
      </c>
      <c r="U54" s="411">
        <f>Charakterbogen!U54</f>
        <v>0</v>
      </c>
      <c r="V54" s="411">
        <f>Charakterbogen!V54</f>
        <v>0</v>
      </c>
      <c r="W54" s="411">
        <f>Charakterbogen!W54</f>
        <v>0</v>
      </c>
      <c r="X54" s="411">
        <f>Charakterbogen!X54</f>
        <v>0</v>
      </c>
      <c r="Y54" s="80"/>
    </row>
    <row r="55" spans="1:25" ht="35.1" customHeight="1" thickTop="1" thickBot="1" x14ac:dyDescent="0.3">
      <c r="A55" s="80"/>
      <c r="C55" s="503"/>
      <c r="D55" s="503"/>
      <c r="E55" s="503"/>
      <c r="F55" s="503"/>
      <c r="G55" s="503"/>
      <c r="H55" s="503"/>
      <c r="I55" s="503"/>
      <c r="J55" s="503"/>
      <c r="K55" s="503"/>
      <c r="L55" s="503"/>
      <c r="M55" s="503"/>
      <c r="N55" s="503"/>
      <c r="O55" s="503"/>
      <c r="P55" s="503"/>
      <c r="Q55" s="503"/>
      <c r="R55" s="503"/>
      <c r="S55" s="503"/>
      <c r="T55" s="503"/>
      <c r="U55" s="503"/>
      <c r="V55" s="503"/>
      <c r="W55" s="503"/>
      <c r="X55" s="503"/>
      <c r="Y55" s="80"/>
    </row>
    <row r="56" spans="1:25" ht="35.1" customHeight="1" thickTop="1" thickBot="1" x14ac:dyDescent="0.3">
      <c r="A56" s="80"/>
      <c r="C56" s="503"/>
      <c r="D56" s="503"/>
      <c r="E56" s="503"/>
      <c r="F56" s="503"/>
      <c r="G56" s="503"/>
      <c r="H56" s="503"/>
      <c r="I56" s="503"/>
      <c r="J56" s="503"/>
      <c r="K56" s="503"/>
      <c r="L56" s="503"/>
      <c r="M56" s="503"/>
      <c r="N56" s="503"/>
      <c r="O56" s="503"/>
      <c r="P56" s="503"/>
      <c r="Q56" s="503"/>
      <c r="R56" s="503"/>
      <c r="S56" s="503"/>
      <c r="T56" s="503"/>
      <c r="U56" s="503"/>
      <c r="V56" s="503"/>
      <c r="W56" s="503"/>
      <c r="X56" s="503"/>
      <c r="Y56" s="80"/>
    </row>
    <row r="57" spans="1:25" ht="35.1" customHeight="1" thickTop="1" thickBot="1" x14ac:dyDescent="0.3">
      <c r="A57" s="80"/>
      <c r="C57" s="503"/>
      <c r="D57" s="503"/>
      <c r="E57" s="503"/>
      <c r="F57" s="503"/>
      <c r="G57" s="503"/>
      <c r="H57" s="503"/>
      <c r="I57" s="503"/>
      <c r="J57" s="503"/>
      <c r="K57" s="503"/>
      <c r="L57" s="503"/>
      <c r="M57" s="503"/>
      <c r="N57" s="503"/>
      <c r="O57" s="503"/>
      <c r="P57" s="503"/>
      <c r="Q57" s="503"/>
      <c r="R57" s="503"/>
      <c r="S57" s="503"/>
      <c r="T57" s="503"/>
      <c r="U57" s="503"/>
      <c r="V57" s="503"/>
      <c r="W57" s="503"/>
      <c r="X57" s="503"/>
      <c r="Y57" s="80"/>
    </row>
    <row r="58" spans="1:25" ht="35.1" customHeight="1" thickTop="1" thickBot="1" x14ac:dyDescent="0.3">
      <c r="A58" s="80"/>
      <c r="C58" s="503"/>
      <c r="D58" s="503"/>
      <c r="E58" s="503"/>
      <c r="F58" s="503"/>
      <c r="G58" s="503"/>
      <c r="H58" s="503"/>
      <c r="I58" s="503"/>
      <c r="J58" s="503"/>
      <c r="K58" s="503"/>
      <c r="L58" s="503"/>
      <c r="M58" s="503"/>
      <c r="N58" s="503"/>
      <c r="O58" s="503"/>
      <c r="P58" s="503"/>
      <c r="Q58" s="503"/>
      <c r="R58" s="503"/>
      <c r="S58" s="503"/>
      <c r="T58" s="503"/>
      <c r="U58" s="503"/>
      <c r="V58" s="503"/>
      <c r="W58" s="503"/>
      <c r="X58" s="503"/>
      <c r="Y58" s="80"/>
    </row>
    <row r="59" spans="1:25" ht="35.1" customHeight="1" thickTop="1" thickBot="1" x14ac:dyDescent="0.3">
      <c r="A59" s="80"/>
      <c r="C59" s="503"/>
      <c r="D59" s="503"/>
      <c r="E59" s="503"/>
      <c r="F59" s="503"/>
      <c r="G59" s="503"/>
      <c r="H59" s="503"/>
      <c r="I59" s="503"/>
      <c r="J59" s="503"/>
      <c r="K59" s="503"/>
      <c r="L59" s="503"/>
      <c r="M59" s="503"/>
      <c r="N59" s="503"/>
      <c r="O59" s="503"/>
      <c r="P59" s="503"/>
      <c r="Q59" s="503"/>
      <c r="R59" s="503"/>
      <c r="S59" s="503"/>
      <c r="T59" s="503"/>
      <c r="U59" s="503"/>
      <c r="V59" s="503"/>
      <c r="W59" s="503"/>
      <c r="X59" s="503"/>
      <c r="Y59" s="80"/>
    </row>
    <row r="60" spans="1:25" ht="35.1" customHeight="1" thickTop="1" thickBot="1" x14ac:dyDescent="0.3">
      <c r="A60" s="80"/>
      <c r="C60" s="503"/>
      <c r="D60" s="503"/>
      <c r="E60" s="503"/>
      <c r="F60" s="503"/>
      <c r="G60" s="503"/>
      <c r="H60" s="503"/>
      <c r="I60" s="503"/>
      <c r="J60" s="503"/>
      <c r="K60" s="503"/>
      <c r="L60" s="503"/>
      <c r="M60" s="503"/>
      <c r="N60" s="503"/>
      <c r="O60" s="503"/>
      <c r="P60" s="503"/>
      <c r="Q60" s="503"/>
      <c r="R60" s="503"/>
      <c r="S60" s="503"/>
      <c r="T60" s="503"/>
      <c r="U60" s="503"/>
      <c r="V60" s="503"/>
      <c r="W60" s="503"/>
      <c r="X60" s="503"/>
      <c r="Y60" s="80"/>
    </row>
    <row r="61" spans="1:25" ht="35.1" customHeight="1" thickTop="1" thickBot="1" x14ac:dyDescent="0.3">
      <c r="A61" s="80"/>
      <c r="C61" s="503"/>
      <c r="D61" s="503"/>
      <c r="E61" s="503"/>
      <c r="F61" s="503"/>
      <c r="G61" s="503"/>
      <c r="H61" s="503"/>
      <c r="I61" s="503"/>
      <c r="J61" s="503"/>
      <c r="K61" s="503"/>
      <c r="L61" s="503"/>
      <c r="M61" s="503"/>
      <c r="N61" s="503"/>
      <c r="O61" s="503"/>
      <c r="P61" s="503"/>
      <c r="Q61" s="503"/>
      <c r="R61" s="503"/>
      <c r="S61" s="503"/>
      <c r="T61" s="503"/>
      <c r="U61" s="503"/>
      <c r="V61" s="503"/>
      <c r="W61" s="503"/>
      <c r="X61" s="503"/>
      <c r="Y61" s="80"/>
    </row>
    <row r="62" spans="1:25" ht="39.75" customHeight="1" thickTop="1" thickBot="1" x14ac:dyDescent="0.3">
      <c r="A62" s="80"/>
      <c r="C62" s="501" t="str">
        <f>Charakterbogen!C62</f>
        <v>Verbündete</v>
      </c>
      <c r="D62" s="501">
        <f>Charakterbogen!D62</f>
        <v>0</v>
      </c>
      <c r="E62" s="501">
        <f>Charakterbogen!E62</f>
        <v>0</v>
      </c>
      <c r="F62" s="501">
        <f>Charakterbogen!F62</f>
        <v>0</v>
      </c>
      <c r="G62" s="501" t="str">
        <f>Charakterbogen!G62</f>
        <v>Feinde</v>
      </c>
      <c r="H62" s="501">
        <f>Charakterbogen!H62</f>
        <v>0</v>
      </c>
      <c r="I62" s="501">
        <f>Charakterbogen!I62</f>
        <v>0</v>
      </c>
      <c r="J62" s="501">
        <f>Charakterbogen!J62</f>
        <v>0</v>
      </c>
      <c r="K62" s="501">
        <f>Charakterbogen!K62</f>
        <v>0</v>
      </c>
      <c r="L62" s="501">
        <f>Charakterbogen!L62</f>
        <v>0</v>
      </c>
      <c r="M62" s="501">
        <f>Charakterbogen!M62</f>
        <v>0</v>
      </c>
      <c r="N62" s="501">
        <f>Charakterbogen!N62</f>
        <v>0</v>
      </c>
      <c r="O62" s="501">
        <f>Charakterbogen!O62</f>
        <v>0</v>
      </c>
      <c r="P62" s="501">
        <f>Charakterbogen!P62</f>
        <v>0</v>
      </c>
      <c r="Q62" s="501" t="str">
        <f>Charakterbogen!Q62</f>
        <v>Freunde</v>
      </c>
      <c r="R62" s="501">
        <f>Charakterbogen!R62</f>
        <v>0</v>
      </c>
      <c r="S62" s="501">
        <f>Charakterbogen!S62</f>
        <v>0</v>
      </c>
      <c r="T62" s="501">
        <f>Charakterbogen!T62</f>
        <v>0</v>
      </c>
      <c r="U62" s="501">
        <f>Charakterbogen!U62</f>
        <v>0</v>
      </c>
      <c r="V62" s="501">
        <f>Charakterbogen!V62</f>
        <v>0</v>
      </c>
      <c r="W62" s="501">
        <f>Charakterbogen!W62</f>
        <v>0</v>
      </c>
      <c r="X62" s="501">
        <f>Charakterbogen!X62</f>
        <v>0</v>
      </c>
      <c r="Y62" s="80"/>
    </row>
    <row r="63" spans="1:25" ht="35.1" customHeight="1" thickTop="1" thickBot="1" x14ac:dyDescent="0.3">
      <c r="A63" s="80"/>
      <c r="C63" s="503"/>
      <c r="D63" s="503"/>
      <c r="E63" s="503"/>
      <c r="F63" s="503"/>
      <c r="G63" s="503"/>
      <c r="H63" s="503"/>
      <c r="I63" s="503"/>
      <c r="J63" s="503"/>
      <c r="K63" s="503"/>
      <c r="L63" s="503"/>
      <c r="M63" s="503"/>
      <c r="N63" s="503"/>
      <c r="O63" s="503"/>
      <c r="P63" s="503"/>
      <c r="Q63" s="503"/>
      <c r="R63" s="503"/>
      <c r="S63" s="503"/>
      <c r="T63" s="503"/>
      <c r="U63" s="503"/>
      <c r="V63" s="503"/>
      <c r="W63" s="503"/>
      <c r="X63" s="503"/>
      <c r="Y63" s="80"/>
    </row>
    <row r="64" spans="1:25" ht="35.1" customHeight="1" thickTop="1" thickBot="1" x14ac:dyDescent="0.3">
      <c r="A64" s="80"/>
      <c r="C64" s="503"/>
      <c r="D64" s="503"/>
      <c r="E64" s="503"/>
      <c r="F64" s="503"/>
      <c r="G64" s="503"/>
      <c r="H64" s="503"/>
      <c r="I64" s="503"/>
      <c r="J64" s="503"/>
      <c r="K64" s="503"/>
      <c r="L64" s="503"/>
      <c r="M64" s="503"/>
      <c r="N64" s="503"/>
      <c r="O64" s="503"/>
      <c r="P64" s="503"/>
      <c r="Q64" s="503"/>
      <c r="R64" s="503"/>
      <c r="S64" s="503"/>
      <c r="T64" s="503"/>
      <c r="U64" s="503"/>
      <c r="V64" s="503"/>
      <c r="W64" s="503"/>
      <c r="X64" s="503"/>
      <c r="Y64" s="80"/>
    </row>
    <row r="65" spans="1:25" ht="35.1" customHeight="1" thickTop="1" thickBot="1" x14ac:dyDescent="0.3">
      <c r="A65" s="80"/>
      <c r="C65" s="503"/>
      <c r="D65" s="503"/>
      <c r="E65" s="503"/>
      <c r="F65" s="503"/>
      <c r="G65" s="503"/>
      <c r="H65" s="503"/>
      <c r="I65" s="503"/>
      <c r="J65" s="503"/>
      <c r="K65" s="503"/>
      <c r="L65" s="503"/>
      <c r="M65" s="503"/>
      <c r="N65" s="503"/>
      <c r="O65" s="503"/>
      <c r="P65" s="503"/>
      <c r="Q65" s="503"/>
      <c r="R65" s="503"/>
      <c r="S65" s="503"/>
      <c r="T65" s="503"/>
      <c r="U65" s="503"/>
      <c r="V65" s="503"/>
      <c r="W65" s="503"/>
      <c r="X65" s="503"/>
      <c r="Y65" s="80"/>
    </row>
    <row r="66" spans="1:25" ht="35.1" customHeight="1" thickTop="1" thickBot="1" x14ac:dyDescent="0.3">
      <c r="A66" s="80"/>
      <c r="C66" s="503"/>
      <c r="D66" s="503"/>
      <c r="E66" s="503"/>
      <c r="F66" s="503"/>
      <c r="G66" s="503"/>
      <c r="H66" s="503"/>
      <c r="I66" s="503"/>
      <c r="J66" s="503"/>
      <c r="K66" s="503"/>
      <c r="L66" s="503"/>
      <c r="M66" s="503"/>
      <c r="N66" s="503"/>
      <c r="O66" s="503"/>
      <c r="P66" s="503"/>
      <c r="Q66" s="503"/>
      <c r="R66" s="503"/>
      <c r="S66" s="503"/>
      <c r="T66" s="503"/>
      <c r="U66" s="503"/>
      <c r="V66" s="503"/>
      <c r="W66" s="503"/>
      <c r="X66" s="503"/>
      <c r="Y66" s="80"/>
    </row>
    <row r="67" spans="1:25" ht="35.1" customHeight="1" thickTop="1" thickBot="1" x14ac:dyDescent="0.3">
      <c r="A67" s="80"/>
      <c r="C67" s="503"/>
      <c r="D67" s="503"/>
      <c r="E67" s="503"/>
      <c r="F67" s="503"/>
      <c r="G67" s="503"/>
      <c r="H67" s="503"/>
      <c r="I67" s="503"/>
      <c r="J67" s="503"/>
      <c r="K67" s="503"/>
      <c r="L67" s="503"/>
      <c r="M67" s="503"/>
      <c r="N67" s="503"/>
      <c r="O67" s="503"/>
      <c r="P67" s="503"/>
      <c r="Q67" s="503"/>
      <c r="R67" s="503"/>
      <c r="S67" s="503"/>
      <c r="T67" s="503"/>
      <c r="U67" s="503"/>
      <c r="V67" s="503"/>
      <c r="W67" s="503"/>
      <c r="X67" s="503"/>
      <c r="Y67" s="80"/>
    </row>
    <row r="68" spans="1:25" ht="39.75" customHeight="1" thickTop="1" thickBot="1" x14ac:dyDescent="0.3">
      <c r="A68" s="80"/>
      <c r="C68" s="501" t="str">
        <f>Charakterbogen!C68</f>
        <v>Heraldik</v>
      </c>
      <c r="D68" s="501">
        <f>Charakterbogen!D68</f>
        <v>0</v>
      </c>
      <c r="E68" s="501">
        <f>Charakterbogen!E68</f>
        <v>0</v>
      </c>
      <c r="F68" s="501">
        <f>Charakterbogen!F68</f>
        <v>0</v>
      </c>
      <c r="G68" s="501" t="str">
        <f>Charakterbogen!G68</f>
        <v>Portrait</v>
      </c>
      <c r="H68" s="501">
        <f>Charakterbogen!H68</f>
        <v>0</v>
      </c>
      <c r="I68" s="501">
        <f>Charakterbogen!I68</f>
        <v>0</v>
      </c>
      <c r="J68" s="501">
        <f>Charakterbogen!J68</f>
        <v>0</v>
      </c>
      <c r="K68" s="501">
        <f>Charakterbogen!K68</f>
        <v>0</v>
      </c>
      <c r="L68" s="501">
        <f>Charakterbogen!L68</f>
        <v>0</v>
      </c>
      <c r="M68" s="501">
        <f>Charakterbogen!M68</f>
        <v>0</v>
      </c>
      <c r="N68" s="501">
        <f>Charakterbogen!N68</f>
        <v>0</v>
      </c>
      <c r="O68" s="501">
        <f>Charakterbogen!O68</f>
        <v>0</v>
      </c>
      <c r="P68" s="501">
        <f>Charakterbogen!P68</f>
        <v>0</v>
      </c>
      <c r="Q68" s="501" t="str">
        <f>Charakterbogen!Q68</f>
        <v>Worte</v>
      </c>
      <c r="R68" s="501">
        <f>Charakterbogen!R68</f>
        <v>0</v>
      </c>
      <c r="S68" s="501">
        <f>Charakterbogen!S68</f>
        <v>0</v>
      </c>
      <c r="T68" s="501">
        <f>Charakterbogen!T68</f>
        <v>0</v>
      </c>
      <c r="U68" s="501">
        <f>Charakterbogen!U68</f>
        <v>0</v>
      </c>
      <c r="V68" s="501">
        <f>Charakterbogen!V68</f>
        <v>0</v>
      </c>
      <c r="W68" s="501">
        <f>Charakterbogen!W68</f>
        <v>0</v>
      </c>
      <c r="X68" s="501">
        <f>Charakterbogen!X68</f>
        <v>0</v>
      </c>
      <c r="Y68" s="80"/>
    </row>
    <row r="69" spans="1:25" ht="35.1" customHeight="1" thickTop="1" thickBot="1" x14ac:dyDescent="0.3">
      <c r="A69" s="80"/>
      <c r="C69" s="502"/>
      <c r="D69" s="502"/>
      <c r="E69" s="502"/>
      <c r="F69" s="502"/>
      <c r="G69" s="502"/>
      <c r="H69" s="502"/>
      <c r="I69" s="502"/>
      <c r="J69" s="502"/>
      <c r="K69" s="502"/>
      <c r="L69" s="502"/>
      <c r="M69" s="502"/>
      <c r="N69" s="502"/>
      <c r="O69" s="502"/>
      <c r="P69" s="502"/>
      <c r="Q69" s="502"/>
      <c r="R69" s="502"/>
      <c r="S69" s="502"/>
      <c r="T69" s="502"/>
      <c r="U69" s="502"/>
      <c r="V69" s="502"/>
      <c r="W69" s="502"/>
      <c r="X69" s="502"/>
      <c r="Y69" s="80"/>
    </row>
    <row r="70" spans="1:25" ht="35.1" customHeight="1" thickTop="1" thickBot="1" x14ac:dyDescent="0.3">
      <c r="A70" s="80"/>
      <c r="C70" s="502"/>
      <c r="D70" s="502"/>
      <c r="E70" s="502"/>
      <c r="F70" s="502"/>
      <c r="G70" s="502"/>
      <c r="H70" s="502"/>
      <c r="I70" s="502"/>
      <c r="J70" s="502"/>
      <c r="K70" s="502"/>
      <c r="L70" s="502"/>
      <c r="M70" s="502"/>
      <c r="N70" s="502"/>
      <c r="O70" s="502"/>
      <c r="P70" s="502"/>
      <c r="Q70" s="502"/>
      <c r="R70" s="502"/>
      <c r="S70" s="502"/>
      <c r="T70" s="502"/>
      <c r="U70" s="502"/>
      <c r="V70" s="502"/>
      <c r="W70" s="502"/>
      <c r="X70" s="502"/>
      <c r="Y70" s="80"/>
    </row>
    <row r="71" spans="1:25" ht="35.1" customHeight="1" thickTop="1" thickBot="1" x14ac:dyDescent="0.3">
      <c r="A71" s="80"/>
      <c r="C71" s="502"/>
      <c r="D71" s="502"/>
      <c r="E71" s="502"/>
      <c r="F71" s="502"/>
      <c r="G71" s="502"/>
      <c r="H71" s="502"/>
      <c r="I71" s="502"/>
      <c r="J71" s="502"/>
      <c r="K71" s="502"/>
      <c r="L71" s="502"/>
      <c r="M71" s="502"/>
      <c r="N71" s="502"/>
      <c r="O71" s="502"/>
      <c r="P71" s="502"/>
      <c r="Q71" s="502"/>
      <c r="R71" s="502"/>
      <c r="S71" s="502"/>
      <c r="T71" s="502"/>
      <c r="U71" s="502"/>
      <c r="V71" s="502"/>
      <c r="W71" s="502"/>
      <c r="X71" s="502"/>
      <c r="Y71" s="80"/>
    </row>
    <row r="72" spans="1:25" ht="35.1" customHeight="1" thickTop="1" thickBot="1" x14ac:dyDescent="0.3">
      <c r="A72" s="80"/>
      <c r="C72" s="502"/>
      <c r="D72" s="502"/>
      <c r="E72" s="502"/>
      <c r="F72" s="502"/>
      <c r="G72" s="502"/>
      <c r="H72" s="502"/>
      <c r="I72" s="502"/>
      <c r="J72" s="502"/>
      <c r="K72" s="502"/>
      <c r="L72" s="502"/>
      <c r="M72" s="502"/>
      <c r="N72" s="502"/>
      <c r="O72" s="502"/>
      <c r="P72" s="502"/>
      <c r="Q72" s="502"/>
      <c r="R72" s="502"/>
      <c r="S72" s="502"/>
      <c r="T72" s="502"/>
      <c r="U72" s="502"/>
      <c r="V72" s="502"/>
      <c r="W72" s="502"/>
      <c r="X72" s="502"/>
      <c r="Y72" s="80"/>
    </row>
    <row r="73" spans="1:25" ht="35.1" customHeight="1" thickTop="1" thickBot="1" x14ac:dyDescent="0.3">
      <c r="A73" s="80"/>
      <c r="C73" s="502"/>
      <c r="D73" s="502"/>
      <c r="E73" s="502"/>
      <c r="F73" s="502"/>
      <c r="G73" s="502"/>
      <c r="H73" s="502"/>
      <c r="I73" s="502"/>
      <c r="J73" s="502"/>
      <c r="K73" s="502"/>
      <c r="L73" s="502"/>
      <c r="M73" s="502"/>
      <c r="N73" s="502"/>
      <c r="O73" s="502"/>
      <c r="P73" s="502"/>
      <c r="Q73" s="502"/>
      <c r="R73" s="502"/>
      <c r="S73" s="502"/>
      <c r="T73" s="502"/>
      <c r="U73" s="502"/>
      <c r="V73" s="502"/>
      <c r="W73" s="502"/>
      <c r="X73" s="502"/>
      <c r="Y73" s="80"/>
    </row>
    <row r="74" spans="1:25" ht="35.1" customHeight="1" thickTop="1" thickBot="1" x14ac:dyDescent="0.3">
      <c r="A74" s="80"/>
      <c r="C74" s="502"/>
      <c r="D74" s="502"/>
      <c r="E74" s="502"/>
      <c r="F74" s="502"/>
      <c r="G74" s="502"/>
      <c r="H74" s="502"/>
      <c r="I74" s="502"/>
      <c r="J74" s="502"/>
      <c r="K74" s="502"/>
      <c r="L74" s="502"/>
      <c r="M74" s="502"/>
      <c r="N74" s="502"/>
      <c r="O74" s="502"/>
      <c r="P74" s="502"/>
      <c r="Q74" s="502"/>
      <c r="R74" s="502"/>
      <c r="S74" s="502"/>
      <c r="T74" s="502"/>
      <c r="U74" s="502"/>
      <c r="V74" s="502"/>
      <c r="W74" s="502"/>
      <c r="X74" s="502"/>
      <c r="Y74" s="80"/>
    </row>
    <row r="75" spans="1:25" ht="16.5" thickTop="1" x14ac:dyDescent="0.25">
      <c r="A75" s="80"/>
      <c r="B75" s="82"/>
      <c r="C75" s="80" t="str">
        <f>C36&amp;" - Seite 2"</f>
        <v>Das Lied von Eis und Feuer Charakterbogen - Seite 2</v>
      </c>
      <c r="D75" s="81"/>
      <c r="E75" s="81"/>
      <c r="F75" s="81"/>
      <c r="G75" s="81"/>
      <c r="H75" s="80"/>
      <c r="I75" s="80"/>
      <c r="J75" s="80"/>
      <c r="K75" s="80"/>
      <c r="L75" s="80"/>
      <c r="M75" s="82"/>
      <c r="N75" s="80"/>
      <c r="O75" s="80"/>
      <c r="P75" s="80"/>
      <c r="Q75" s="80"/>
      <c r="R75" s="80"/>
      <c r="S75" s="80"/>
      <c r="T75" s="80"/>
      <c r="U75" s="80"/>
      <c r="V75" s="81"/>
      <c r="W75" s="397" t="str">
        <f>W36</f>
        <v>Version 24.8.17 © Jaegers.Net</v>
      </c>
      <c r="X75" s="397"/>
      <c r="Y75" s="80"/>
    </row>
  </sheetData>
  <sheetProtection algorithmName="SHA-512" hashValue="/w04RCjirJ4TsAjHhQOwntFYqdupL+/vz5+tnP0dBuQjHdN/I/2GjhGdF++anwv4idK6aBz+98ckfjU/kdEOFQ==" saltValue="w/KdyiJkHe3sD9cI0aEf0Q==" spinCount="100000" sheet="1" objects="1" scenarios="1"/>
  <mergeCells count="130">
    <mergeCell ref="C4:X4"/>
    <mergeCell ref="E5:L5"/>
    <mergeCell ref="O5:V5"/>
    <mergeCell ref="W5:X5"/>
    <mergeCell ref="E6:L6"/>
    <mergeCell ref="O6:V6"/>
    <mergeCell ref="W6:X6"/>
    <mergeCell ref="C1:W1"/>
    <mergeCell ref="X1:X2"/>
    <mergeCell ref="D2:W2"/>
    <mergeCell ref="D3:E3"/>
    <mergeCell ref="F3:I3"/>
    <mergeCell ref="J3:L3"/>
    <mergeCell ref="O3:W3"/>
    <mergeCell ref="E9:L9"/>
    <mergeCell ref="O9:V9"/>
    <mergeCell ref="W9:X9"/>
    <mergeCell ref="E10:L10"/>
    <mergeCell ref="O10:V10"/>
    <mergeCell ref="W10:X10"/>
    <mergeCell ref="E7:L7"/>
    <mergeCell ref="O7:V7"/>
    <mergeCell ref="W7:X7"/>
    <mergeCell ref="E8:L8"/>
    <mergeCell ref="O8:V8"/>
    <mergeCell ref="W8:X8"/>
    <mergeCell ref="E13:L13"/>
    <mergeCell ref="O13:V13"/>
    <mergeCell ref="W13:X13"/>
    <mergeCell ref="E14:L14"/>
    <mergeCell ref="O14:V14"/>
    <mergeCell ref="W14:X14"/>
    <mergeCell ref="E11:L11"/>
    <mergeCell ref="O11:V11"/>
    <mergeCell ref="W11:X11"/>
    <mergeCell ref="E12:L12"/>
    <mergeCell ref="O12:V12"/>
    <mergeCell ref="W12:X12"/>
    <mergeCell ref="E15:X15"/>
    <mergeCell ref="C16:L16"/>
    <mergeCell ref="N16:V16"/>
    <mergeCell ref="W16:X16"/>
    <mergeCell ref="C17:L21"/>
    <mergeCell ref="N17:V17"/>
    <mergeCell ref="W17:X17"/>
    <mergeCell ref="N18:V18"/>
    <mergeCell ref="W18:X18"/>
    <mergeCell ref="N19:V19"/>
    <mergeCell ref="W19:X19"/>
    <mergeCell ref="N20:V20"/>
    <mergeCell ref="W20:X20"/>
    <mergeCell ref="N21:V23"/>
    <mergeCell ref="W21:X23"/>
    <mergeCell ref="C22:D24"/>
    <mergeCell ref="E22:L22"/>
    <mergeCell ref="E24:L24"/>
    <mergeCell ref="N24:V24"/>
    <mergeCell ref="W24:X24"/>
    <mergeCell ref="C30:E30"/>
    <mergeCell ref="F30:I30"/>
    <mergeCell ref="J30:V30"/>
    <mergeCell ref="C25:V25"/>
    <mergeCell ref="W30:X30"/>
    <mergeCell ref="C31:E31"/>
    <mergeCell ref="F31:I31"/>
    <mergeCell ref="J31:V31"/>
    <mergeCell ref="W31:X31"/>
    <mergeCell ref="W25:X25"/>
    <mergeCell ref="C26:E26"/>
    <mergeCell ref="F26:I26"/>
    <mergeCell ref="J26:V26"/>
    <mergeCell ref="W26:X29"/>
    <mergeCell ref="C27:E27"/>
    <mergeCell ref="F27:I27"/>
    <mergeCell ref="J27:V27"/>
    <mergeCell ref="C28:E28"/>
    <mergeCell ref="F28:I28"/>
    <mergeCell ref="J28:V28"/>
    <mergeCell ref="C29:E29"/>
    <mergeCell ref="F29:I29"/>
    <mergeCell ref="J29:V29"/>
    <mergeCell ref="C38:L38"/>
    <mergeCell ref="N38:X38"/>
    <mergeCell ref="O33:P33"/>
    <mergeCell ref="Q33:R33"/>
    <mergeCell ref="S33:T33"/>
    <mergeCell ref="U33:V33"/>
    <mergeCell ref="O34:O35"/>
    <mergeCell ref="P34:Q34"/>
    <mergeCell ref="R34:S34"/>
    <mergeCell ref="T34:U34"/>
    <mergeCell ref="V34:V35"/>
    <mergeCell ref="C32:E35"/>
    <mergeCell ref="F32:L32"/>
    <mergeCell ref="N32:N35"/>
    <mergeCell ref="O32:V32"/>
    <mergeCell ref="W32:X33"/>
    <mergeCell ref="W34:X35"/>
    <mergeCell ref="F35:L35"/>
    <mergeCell ref="P35:U35"/>
    <mergeCell ref="W36:X36"/>
    <mergeCell ref="C42:L42"/>
    <mergeCell ref="N42:X44"/>
    <mergeCell ref="C43:L43"/>
    <mergeCell ref="C44:L53"/>
    <mergeCell ref="N45:X45"/>
    <mergeCell ref="N46:X48"/>
    <mergeCell ref="N49:X49"/>
    <mergeCell ref="N50:X53"/>
    <mergeCell ref="C39:L39"/>
    <mergeCell ref="O39:V39"/>
    <mergeCell ref="C40:L40"/>
    <mergeCell ref="O40:V40"/>
    <mergeCell ref="C41:L41"/>
    <mergeCell ref="N41:X41"/>
    <mergeCell ref="W75:X75"/>
    <mergeCell ref="C68:F68"/>
    <mergeCell ref="G68:P68"/>
    <mergeCell ref="Q68:X68"/>
    <mergeCell ref="C69:F74"/>
    <mergeCell ref="G69:P74"/>
    <mergeCell ref="Q69:X74"/>
    <mergeCell ref="C54:X54"/>
    <mergeCell ref="C55:X61"/>
    <mergeCell ref="C62:F62"/>
    <mergeCell ref="G62:P62"/>
    <mergeCell ref="Q62:X62"/>
    <mergeCell ref="C63:F67"/>
    <mergeCell ref="G63:P67"/>
    <mergeCell ref="Q63:X67"/>
  </mergeCells>
  <dataValidations count="1">
    <dataValidation type="list" allowBlank="1" showInputMessage="1" showErrorMessage="1" sqref="J3:L3">
      <formula1>"männlich,weiblich"</formula1>
    </dataValidation>
  </dataValidations>
  <printOptions horizontalCentered="1"/>
  <pageMargins left="0.23622047244094491" right="0.23622047244094491" top="0.74803149606299213" bottom="0.74803149606299213" header="0.31496062992125984" footer="0.31496062992125984"/>
  <pageSetup paperSize="9" scale="57" fitToHeight="2" orientation="portrait" horizontalDpi="0" verticalDpi="0" r:id="rId1"/>
  <rowBreaks count="1" manualBreakCount="1">
    <brk id="36" max="24"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'_Tabellen und Listen'!$B$17:$B$24</xm:f>
          </x14:formula1>
          <xm:sqref>D3:E3</xm:sqref>
        </x14:dataValidation>
        <x14:dataValidation type="list" allowBlank="1" showInputMessage="1" showErrorMessage="1">
          <x14:formula1>
            <xm:f>'_Tabellen und Listen'!$B$4:$B$13</xm:f>
          </x14:formula1>
          <xm:sqref>O3:W3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showZeros="0" workbookViewId="0">
      <selection activeCell="C16" sqref="C16"/>
    </sheetView>
  </sheetViews>
  <sheetFormatPr baseColWidth="10" defaultRowHeight="15" x14ac:dyDescent="0.25"/>
  <cols>
    <col min="1" max="16384" width="11.42578125" style="3"/>
  </cols>
  <sheetData>
    <row r="1" spans="1:11" ht="26.25" x14ac:dyDescent="0.4">
      <c r="A1" s="532" t="str">
        <f>'3. Vorteile'!A1:I1</f>
        <v>Charaktergenerierung für das Game of Thrones Rollenspiel</v>
      </c>
      <c r="B1" s="532"/>
      <c r="C1" s="532"/>
      <c r="D1" s="532"/>
      <c r="E1" s="532"/>
      <c r="F1" s="532"/>
      <c r="G1" s="532"/>
      <c r="H1" s="532"/>
      <c r="I1" s="532"/>
    </row>
    <row r="3" spans="1:11" x14ac:dyDescent="0.25">
      <c r="A3" s="533" t="s">
        <v>929</v>
      </c>
      <c r="B3" s="533"/>
      <c r="C3" s="533"/>
      <c r="D3" s="533"/>
      <c r="E3" s="533"/>
      <c r="F3" s="533"/>
      <c r="G3" s="281" t="str">
        <f>'1. Allgemeines'!H3</f>
        <v>Version 24.8.17 © Jaegers.Net</v>
      </c>
      <c r="H3" s="281"/>
      <c r="I3" s="281"/>
    </row>
    <row r="4" spans="1:11" ht="33" customHeight="1" x14ac:dyDescent="0.25">
      <c r="A4" s="533"/>
      <c r="B4" s="533"/>
      <c r="C4" s="533"/>
      <c r="D4" s="533"/>
      <c r="E4" s="533"/>
      <c r="F4" s="533"/>
      <c r="G4" s="535" t="s">
        <v>330</v>
      </c>
      <c r="H4" s="535"/>
      <c r="I4" s="535"/>
    </row>
    <row r="5" spans="1:11" ht="33" customHeight="1" x14ac:dyDescent="0.25">
      <c r="A5" s="235"/>
      <c r="B5" s="235"/>
      <c r="C5" s="235"/>
      <c r="D5" s="235"/>
      <c r="E5" s="235"/>
      <c r="F5" s="235"/>
      <c r="G5" s="535" t="s">
        <v>930</v>
      </c>
      <c r="H5" s="535"/>
      <c r="I5" s="535"/>
    </row>
    <row r="7" spans="1:11" x14ac:dyDescent="0.25">
      <c r="A7" s="7" t="s">
        <v>322</v>
      </c>
    </row>
    <row r="8" spans="1:11" x14ac:dyDescent="0.25">
      <c r="A8" s="534" t="s">
        <v>317</v>
      </c>
      <c r="B8" s="534"/>
      <c r="C8" s="266" t="s">
        <v>319</v>
      </c>
      <c r="D8" s="266"/>
      <c r="E8" s="266"/>
      <c r="F8" s="266"/>
      <c r="G8" s="266"/>
      <c r="H8" s="266"/>
      <c r="I8" s="266"/>
    </row>
    <row r="9" spans="1:11" x14ac:dyDescent="0.25">
      <c r="A9" s="534" t="s">
        <v>318</v>
      </c>
      <c r="B9" s="534"/>
      <c r="C9" s="266" t="s">
        <v>320</v>
      </c>
      <c r="D9" s="266"/>
      <c r="E9" s="266"/>
      <c r="F9" s="266"/>
      <c r="G9" s="266"/>
      <c r="H9" s="266"/>
      <c r="I9" s="266"/>
    </row>
    <row r="11" spans="1:11" x14ac:dyDescent="0.25">
      <c r="A11" s="7" t="s">
        <v>321</v>
      </c>
    </row>
    <row r="12" spans="1:11" x14ac:dyDescent="0.25">
      <c r="A12" s="534" t="s">
        <v>323</v>
      </c>
      <c r="B12" s="534"/>
      <c r="C12" s="266" t="s">
        <v>324</v>
      </c>
      <c r="D12" s="266"/>
      <c r="E12" s="266"/>
      <c r="F12" s="266"/>
      <c r="G12" s="266"/>
      <c r="H12" s="266"/>
      <c r="I12" s="266"/>
    </row>
    <row r="13" spans="1:11" x14ac:dyDescent="0.25">
      <c r="A13" s="64" t="s">
        <v>327</v>
      </c>
      <c r="B13" s="64"/>
      <c r="C13" s="266" t="s">
        <v>326</v>
      </c>
      <c r="D13" s="266"/>
      <c r="E13" s="266"/>
      <c r="F13" s="266"/>
      <c r="G13" s="266"/>
      <c r="H13" s="266"/>
      <c r="I13" s="266"/>
    </row>
    <row r="14" spans="1:11" x14ac:dyDescent="0.25">
      <c r="A14" s="3" t="s">
        <v>327</v>
      </c>
      <c r="C14" s="280" t="s">
        <v>328</v>
      </c>
      <c r="D14" s="280"/>
      <c r="E14" s="280"/>
      <c r="F14" s="280"/>
      <c r="G14" s="280"/>
      <c r="H14" s="280"/>
      <c r="I14" s="280"/>
    </row>
    <row r="15" spans="1:11" x14ac:dyDescent="0.25">
      <c r="A15" s="3" t="s">
        <v>327</v>
      </c>
      <c r="C15" s="266" t="s">
        <v>325</v>
      </c>
      <c r="D15" s="266"/>
      <c r="E15" s="266"/>
      <c r="F15" s="266"/>
      <c r="G15" s="266"/>
      <c r="H15" s="266"/>
      <c r="I15" s="266"/>
      <c r="J15" s="266"/>
      <c r="K15" s="266"/>
    </row>
    <row r="16" spans="1:11" x14ac:dyDescent="0.25">
      <c r="A16" s="3" t="s">
        <v>327</v>
      </c>
      <c r="C16" s="33" t="s">
        <v>940</v>
      </c>
    </row>
    <row r="17" ht="15" customHeight="1" x14ac:dyDescent="0.25"/>
  </sheetData>
  <sheetProtection algorithmName="SHA-512" hashValue="aJs+IaGHj3hd1i0z3F40/+OKC757LI4UvWNdsQaoIYOSwin77Hxto/fcdNijS6EHsevcJaKvUf4Zfyj1KytQhg==" saltValue="9k3BdolwAPLCXwEZfu3T9Q==" spinCount="100000" sheet="1" objects="1" scenarios="1"/>
  <mergeCells count="14">
    <mergeCell ref="C15:K15"/>
    <mergeCell ref="C13:I13"/>
    <mergeCell ref="A1:I1"/>
    <mergeCell ref="G3:I3"/>
    <mergeCell ref="A3:F4"/>
    <mergeCell ref="A8:B8"/>
    <mergeCell ref="A9:B9"/>
    <mergeCell ref="C14:I14"/>
    <mergeCell ref="G4:I4"/>
    <mergeCell ref="A12:B12"/>
    <mergeCell ref="C8:I8"/>
    <mergeCell ref="C9:I9"/>
    <mergeCell ref="C12:I12"/>
    <mergeCell ref="G5:I5"/>
  </mergeCells>
  <hyperlinks>
    <hyperlink ref="G3:I3" r:id="rId1" display="http://www.jaegers.net/"/>
    <hyperlink ref="C8" r:id="rId2" display="D"/>
    <hyperlink ref="C9:G9" r:id="rId3" display="Das Lied von Eis und Feuer - Schnellstartregeln: Das Game-of-Thrones Rollenspiel"/>
    <hyperlink ref="C12:I12" r:id="rId4" display="Das Lied von Eis und Feuer - Erzählerset: Der Tabellenschirm für das Game-of-Thrones Rollenspiel"/>
    <hyperlink ref="C15:I15" r:id="rId5" display="Night's Watch - Nachtwache: Ein Quellenbuch für: Das Lied von Eis und Feuer - Das Game-of-Thrones-Rollenspiel"/>
    <hyperlink ref="C13:I13" r:id="rId6" display="Das Lied von Eis und Feuer - Der Kampagnenführer: Die Welt von Game-of-Thrones"/>
    <hyperlink ref="C14:I14" r:id="rId7" display="Das Lied von Eis und Feuer - Der Chronikstarter"/>
    <hyperlink ref="C16" r:id="rId8"/>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12</vt:i4>
      </vt:variant>
    </vt:vector>
  </HeadingPairs>
  <TitlesOfParts>
    <vt:vector size="22" baseType="lpstr">
      <vt:lpstr>1. Allgemeines</vt:lpstr>
      <vt:lpstr>2. Fähigkeiten</vt:lpstr>
      <vt:lpstr>3. Vorteile</vt:lpstr>
      <vt:lpstr>4. Nachteile</vt:lpstr>
      <vt:lpstr>Charakterbogen</vt:lpstr>
      <vt:lpstr>Charaktebogen (mini)</vt:lpstr>
      <vt:lpstr>Charakterbogen neu (blanko)</vt:lpstr>
      <vt:lpstr>Charakterbogen (blanko)</vt:lpstr>
      <vt:lpstr>Rollenspielbücher</vt:lpstr>
      <vt:lpstr>_Tabellen und Listen</vt:lpstr>
      <vt:lpstr>Alter</vt:lpstr>
      <vt:lpstr>Bastardname</vt:lpstr>
      <vt:lpstr>'Charaktebogen (mini)'!Druckbereich</vt:lpstr>
      <vt:lpstr>Charakterbogen!Druckbereich</vt:lpstr>
      <vt:lpstr>'Charakterbogen (blanko)'!Druckbereich</vt:lpstr>
      <vt:lpstr>'Charakterbogen neu (blanko)'!Druckbereich</vt:lpstr>
      <vt:lpstr>Geschlecht</vt:lpstr>
      <vt:lpstr>Name</vt:lpstr>
      <vt:lpstr>Reich</vt:lpstr>
      <vt:lpstr>Spielername</vt:lpstr>
      <vt:lpstr>Startreich</vt:lpstr>
      <vt:lpstr>Status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L. Jaegers</dc:creator>
  <cp:lastModifiedBy>Michael L. Jaegers</cp:lastModifiedBy>
  <cp:lastPrinted>2016-06-11T23:35:06Z</cp:lastPrinted>
  <dcterms:created xsi:type="dcterms:W3CDTF">2014-08-15T11:13:13Z</dcterms:created>
  <dcterms:modified xsi:type="dcterms:W3CDTF">2017-08-24T13:24:51Z</dcterms:modified>
</cp:coreProperties>
</file>